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usuke.igeta\Desktop\"/>
    </mc:Choice>
  </mc:AlternateContent>
  <xr:revisionPtr revIDLastSave="0" documentId="13_ncr:1_{BC2E77CA-DBF3-4C51-BAA7-68FB3DE8C20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保険税試算" sheetId="2" r:id="rId1"/>
    <sheet name="R7給与所得速算表" sheetId="9" r:id="rId2"/>
    <sheet name="R7年金所得速算表" sheetId="10" r:id="rId3"/>
    <sheet name="修正不可" sheetId="5" r:id="rId4"/>
  </sheets>
  <definedNames>
    <definedName name="_xlnm.Print_Area" localSheetId="0">保険税試算!$A$1:$AD$76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2" l="1"/>
  <c r="M12" i="2"/>
  <c r="M15" i="2"/>
  <c r="M18" i="2"/>
  <c r="M21" i="2"/>
  <c r="M24" i="2"/>
  <c r="M6" i="2"/>
  <c r="K32" i="5"/>
  <c r="K28" i="5"/>
  <c r="K24" i="5"/>
  <c r="K20" i="5"/>
  <c r="K16" i="5"/>
  <c r="K12" i="5"/>
  <c r="K8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Y32" i="5"/>
  <c r="Y31" i="5"/>
  <c r="Y30" i="5"/>
  <c r="Y29" i="5"/>
  <c r="Y28" i="5"/>
  <c r="Y27" i="5"/>
  <c r="Y26" i="5"/>
  <c r="Y25" i="5"/>
  <c r="Y24" i="5"/>
  <c r="Y23" i="5"/>
  <c r="Y22" i="5"/>
  <c r="Y21" i="5"/>
  <c r="Y20" i="5"/>
  <c r="Y19" i="5"/>
  <c r="Y18" i="5"/>
  <c r="Y17" i="5"/>
  <c r="Y16" i="5"/>
  <c r="Y15" i="5"/>
  <c r="Y14" i="5"/>
  <c r="Y13" i="5"/>
  <c r="Y12" i="5"/>
  <c r="Y11" i="5"/>
  <c r="Y10" i="5"/>
  <c r="Y9" i="5"/>
  <c r="V32" i="5"/>
  <c r="V31" i="5"/>
  <c r="V30" i="5"/>
  <c r="V29" i="5"/>
  <c r="V28" i="5"/>
  <c r="V27" i="5"/>
  <c r="V26" i="5"/>
  <c r="V25" i="5"/>
  <c r="V24" i="5"/>
  <c r="V23" i="5"/>
  <c r="V22" i="5"/>
  <c r="V21" i="5"/>
  <c r="V20" i="5"/>
  <c r="V19" i="5"/>
  <c r="V18" i="5"/>
  <c r="V17" i="5"/>
  <c r="V16" i="5"/>
  <c r="V15" i="5"/>
  <c r="V14" i="5"/>
  <c r="V13" i="5"/>
  <c r="V12" i="5"/>
  <c r="V11" i="5"/>
  <c r="V9" i="5"/>
  <c r="V10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Y8" i="5"/>
  <c r="Y7" i="5"/>
  <c r="Y6" i="5"/>
  <c r="Y5" i="5"/>
  <c r="V8" i="5"/>
  <c r="V7" i="5"/>
  <c r="V6" i="5"/>
  <c r="V5" i="5"/>
  <c r="S8" i="5"/>
  <c r="S7" i="5"/>
  <c r="S6" i="5"/>
  <c r="S5" i="5"/>
  <c r="J64" i="10"/>
  <c r="J52" i="10"/>
  <c r="J44" i="10"/>
  <c r="J32" i="10"/>
  <c r="J24" i="10"/>
  <c r="AI8" i="5"/>
  <c r="U48" i="2"/>
  <c r="U40" i="2"/>
  <c r="U36" i="2"/>
  <c r="AB32" i="5"/>
  <c r="AB28" i="5"/>
  <c r="AB24" i="5"/>
  <c r="AB20" i="5"/>
  <c r="AB16" i="5"/>
  <c r="AB12" i="5"/>
  <c r="AB8" i="5"/>
  <c r="F31" i="5"/>
  <c r="F27" i="5"/>
  <c r="F23" i="5"/>
  <c r="F19" i="5"/>
  <c r="F15" i="5"/>
  <c r="O36" i="2" l="1"/>
  <c r="H15" i="9"/>
  <c r="F48" i="5" l="1"/>
  <c r="F44" i="5"/>
  <c r="AI5" i="5" l="1"/>
  <c r="Q48" i="2"/>
  <c r="S48" i="2"/>
  <c r="O48" i="2"/>
  <c r="O44" i="2"/>
  <c r="Q40" i="2"/>
  <c r="S40" i="2"/>
  <c r="O40" i="2"/>
  <c r="Q36" i="2"/>
  <c r="S36" i="2"/>
  <c r="O9" i="5" l="1"/>
  <c r="AB5" i="5" l="1"/>
  <c r="O29" i="5"/>
  <c r="P5" i="5" l="1"/>
  <c r="J31" i="2" l="1"/>
  <c r="H39" i="5" l="1"/>
  <c r="J39" i="5" s="1"/>
  <c r="H43" i="5"/>
  <c r="H47" i="5"/>
  <c r="O25" i="5" l="1"/>
  <c r="O21" i="5"/>
  <c r="O17" i="5"/>
  <c r="O13" i="5"/>
  <c r="J72" i="10" l="1"/>
  <c r="J71" i="10"/>
  <c r="J70" i="10"/>
  <c r="J69" i="10"/>
  <c r="J68" i="10"/>
  <c r="J63" i="10"/>
  <c r="J62" i="10"/>
  <c r="J61" i="10"/>
  <c r="J60" i="10"/>
  <c r="J51" i="10"/>
  <c r="J50" i="10"/>
  <c r="J49" i="10"/>
  <c r="J48" i="10"/>
  <c r="J43" i="10"/>
  <c r="J42" i="10"/>
  <c r="J41" i="10"/>
  <c r="J40" i="10"/>
  <c r="J31" i="10"/>
  <c r="J30" i="10"/>
  <c r="J29" i="10"/>
  <c r="J28" i="10"/>
  <c r="J23" i="10"/>
  <c r="J22" i="10"/>
  <c r="J21" i="10"/>
  <c r="J20" i="10"/>
  <c r="H20" i="9" l="1"/>
  <c r="K20" i="9" s="1"/>
  <c r="H19" i="9"/>
  <c r="K19" i="9" s="1"/>
  <c r="H18" i="9"/>
  <c r="K18" i="9" s="1"/>
  <c r="H17" i="9"/>
  <c r="K21" i="9"/>
  <c r="K15" i="9" l="1"/>
  <c r="K10" i="9"/>
  <c r="K17" i="9" s="1"/>
  <c r="AB25" i="5" l="1"/>
  <c r="AB31" i="5"/>
  <c r="AB30" i="5"/>
  <c r="AB29" i="5"/>
  <c r="AB27" i="5"/>
  <c r="AB26" i="5"/>
  <c r="AB23" i="5"/>
  <c r="AB22" i="5"/>
  <c r="AB21" i="5"/>
  <c r="C29" i="5"/>
  <c r="C25" i="5"/>
  <c r="C21" i="5"/>
  <c r="P29" i="5"/>
  <c r="A29" i="5" s="1"/>
  <c r="P25" i="5"/>
  <c r="A25" i="5" s="1"/>
  <c r="P21" i="5"/>
  <c r="A21" i="5" s="1"/>
  <c r="AM17" i="5"/>
  <c r="AB19" i="5"/>
  <c r="AB18" i="5"/>
  <c r="AB17" i="5"/>
  <c r="AB15" i="5"/>
  <c r="AB14" i="5"/>
  <c r="AB13" i="5"/>
  <c r="AB11" i="5"/>
  <c r="AB10" i="5"/>
  <c r="AB9" i="5"/>
  <c r="AB7" i="5"/>
  <c r="AB6" i="5"/>
  <c r="P17" i="5"/>
  <c r="A17" i="5" s="1"/>
  <c r="C17" i="5"/>
  <c r="P13" i="5"/>
  <c r="A13" i="5" s="1"/>
  <c r="C13" i="5"/>
  <c r="P9" i="5"/>
  <c r="A9" i="5" s="1"/>
  <c r="C9" i="5"/>
  <c r="A5" i="5"/>
  <c r="E27" i="2"/>
  <c r="D27" i="2"/>
  <c r="C27" i="2"/>
  <c r="B27" i="2"/>
  <c r="F24" i="5" l="1"/>
  <c r="F21" i="5"/>
  <c r="F26" i="5"/>
  <c r="F28" i="5"/>
  <c r="F25" i="5"/>
  <c r="F12" i="5"/>
  <c r="F9" i="5"/>
  <c r="F32" i="5"/>
  <c r="F29" i="5"/>
  <c r="F30" i="5"/>
  <c r="F16" i="5"/>
  <c r="F13" i="5"/>
  <c r="F20" i="5"/>
  <c r="F17" i="5"/>
  <c r="F22" i="5"/>
  <c r="F14" i="5"/>
  <c r="F18" i="5"/>
  <c r="F11" i="5"/>
  <c r="F10" i="5"/>
  <c r="D44" i="5"/>
  <c r="J43" i="5" s="1"/>
  <c r="D40" i="5"/>
  <c r="O5" i="5"/>
  <c r="AM13" i="5"/>
  <c r="AM5" i="5"/>
  <c r="K51" i="5"/>
  <c r="AM9" i="5"/>
  <c r="P33" i="5"/>
  <c r="D48" i="5"/>
  <c r="L43" i="5" l="1"/>
  <c r="C5" i="5"/>
  <c r="L39" i="5"/>
  <c r="J47" i="5"/>
  <c r="AE14" i="5" l="1"/>
  <c r="AE22" i="5"/>
  <c r="AE30" i="5"/>
  <c r="AE15" i="5"/>
  <c r="AE23" i="5"/>
  <c r="AE31" i="5"/>
  <c r="AE16" i="5"/>
  <c r="AE24" i="5"/>
  <c r="AE32" i="5"/>
  <c r="AE9" i="5"/>
  <c r="AE17" i="5"/>
  <c r="AE25" i="5"/>
  <c r="AE8" i="5"/>
  <c r="AE10" i="5"/>
  <c r="AE18" i="5"/>
  <c r="AE26" i="5"/>
  <c r="AE7" i="5"/>
  <c r="AE11" i="5"/>
  <c r="AE19" i="5"/>
  <c r="AE27" i="5"/>
  <c r="AE6" i="5"/>
  <c r="AE12" i="5"/>
  <c r="AE20" i="5"/>
  <c r="AE28" i="5"/>
  <c r="AE5" i="5"/>
  <c r="AE13" i="5"/>
  <c r="AE21" i="5"/>
  <c r="AE29" i="5"/>
  <c r="AF10" i="5"/>
  <c r="AF18" i="5"/>
  <c r="AF26" i="5"/>
  <c r="AF7" i="5"/>
  <c r="AF11" i="5"/>
  <c r="AF19" i="5"/>
  <c r="AF27" i="5"/>
  <c r="AF6" i="5"/>
  <c r="AF12" i="5"/>
  <c r="AF20" i="5"/>
  <c r="AF28" i="5"/>
  <c r="AF5" i="5"/>
  <c r="AF13" i="5"/>
  <c r="AF21" i="5"/>
  <c r="AF29" i="5"/>
  <c r="AF14" i="5"/>
  <c r="AF22" i="5"/>
  <c r="AF30" i="5"/>
  <c r="AF15" i="5"/>
  <c r="AF23" i="5"/>
  <c r="AF31" i="5"/>
  <c r="AF16" i="5"/>
  <c r="AF24" i="5"/>
  <c r="AF32" i="5"/>
  <c r="AF9" i="5"/>
  <c r="AF17" i="5"/>
  <c r="AF25" i="5"/>
  <c r="AF8" i="5"/>
  <c r="F8" i="5"/>
  <c r="F5" i="5"/>
  <c r="F6" i="5"/>
  <c r="F7" i="5"/>
  <c r="F29" i="2"/>
  <c r="L47" i="5"/>
  <c r="AO5" i="5"/>
  <c r="AI11" i="5" l="1"/>
  <c r="AH11" i="5"/>
  <c r="AG11" i="5"/>
  <c r="AG22" i="5"/>
  <c r="AG30" i="5"/>
  <c r="AG15" i="5"/>
  <c r="AG23" i="5"/>
  <c r="AG31" i="5"/>
  <c r="AG16" i="5"/>
  <c r="AG24" i="5"/>
  <c r="AG32" i="5"/>
  <c r="AG17" i="5"/>
  <c r="AG25" i="5"/>
  <c r="AG8" i="5"/>
  <c r="AG18" i="5"/>
  <c r="AG26" i="5"/>
  <c r="AG7" i="5"/>
  <c r="AG19" i="5"/>
  <c r="AG27" i="5"/>
  <c r="AG6" i="5"/>
  <c r="AG20" i="5"/>
  <c r="AG28" i="5"/>
  <c r="AG5" i="5"/>
  <c r="AG29" i="5"/>
  <c r="AG21" i="5"/>
  <c r="AG9" i="5"/>
  <c r="AG10" i="5"/>
  <c r="AI10" i="5" s="1"/>
  <c r="AG12" i="5"/>
  <c r="AG13" i="5"/>
  <c r="AG14" i="5"/>
  <c r="AI14" i="5" s="1"/>
  <c r="AH26" i="5"/>
  <c r="AH5" i="5"/>
  <c r="AH30" i="5"/>
  <c r="AH14" i="5"/>
  <c r="AH6" i="5"/>
  <c r="AH28" i="5"/>
  <c r="AH20" i="5"/>
  <c r="AJ20" i="5" s="1"/>
  <c r="AH32" i="5"/>
  <c r="AH24" i="5"/>
  <c r="AH29" i="5"/>
  <c r="AJ29" i="5" s="1"/>
  <c r="K29" i="5" s="1"/>
  <c r="AH16" i="5"/>
  <c r="AH10" i="5"/>
  <c r="AH8" i="5"/>
  <c r="AH31" i="5"/>
  <c r="AH7" i="5"/>
  <c r="AH12" i="5"/>
  <c r="AH9" i="5"/>
  <c r="AH22" i="5"/>
  <c r="AH18" i="5"/>
  <c r="AH27" i="5"/>
  <c r="AH25" i="5"/>
  <c r="AH23" i="5"/>
  <c r="AH21" i="5"/>
  <c r="AH19" i="5"/>
  <c r="AH17" i="5"/>
  <c r="AH15" i="5"/>
  <c r="AH13" i="5"/>
  <c r="F36" i="2"/>
  <c r="C36" i="2"/>
  <c r="AQ5" i="5"/>
  <c r="AP5" i="5"/>
  <c r="AR5" i="5"/>
  <c r="AJ32" i="5" l="1"/>
  <c r="AJ19" i="5"/>
  <c r="K19" i="5" s="1"/>
  <c r="AJ30" i="5"/>
  <c r="K30" i="5" s="1"/>
  <c r="AI15" i="5"/>
  <c r="AJ15" i="5" s="1"/>
  <c r="K15" i="5" s="1"/>
  <c r="AI13" i="5"/>
  <c r="AJ13" i="5" s="1"/>
  <c r="K13" i="5" s="1"/>
  <c r="AI12" i="5"/>
  <c r="AJ12" i="5" s="1"/>
  <c r="AI9" i="5"/>
  <c r="AJ9" i="5" s="1"/>
  <c r="K9" i="5" s="1"/>
  <c r="AJ18" i="5"/>
  <c r="K18" i="5" s="1"/>
  <c r="AI16" i="5"/>
  <c r="AJ16" i="5" s="1"/>
  <c r="AJ22" i="5"/>
  <c r="K22" i="5" s="1"/>
  <c r="AJ17" i="5"/>
  <c r="K17" i="5" s="1"/>
  <c r="AJ24" i="5"/>
  <c r="AJ11" i="5"/>
  <c r="K11" i="5" s="1"/>
  <c r="AJ26" i="5"/>
  <c r="K26" i="5" s="1"/>
  <c r="AJ21" i="5"/>
  <c r="K21" i="5" s="1"/>
  <c r="AJ23" i="5"/>
  <c r="K23" i="5" s="1"/>
  <c r="AJ31" i="5"/>
  <c r="K31" i="5" s="1"/>
  <c r="AJ28" i="5"/>
  <c r="AJ25" i="5"/>
  <c r="K25" i="5" s="1"/>
  <c r="AJ27" i="5"/>
  <c r="K27" i="5" s="1"/>
  <c r="L36" i="2"/>
  <c r="AJ10" i="5"/>
  <c r="K10" i="5" s="1"/>
  <c r="AJ8" i="5"/>
  <c r="AJ14" i="5"/>
  <c r="K14" i="5" s="1"/>
  <c r="AJ5" i="5"/>
  <c r="K5" i="5" s="1"/>
  <c r="AI6" i="5"/>
  <c r="AJ6" i="5" s="1"/>
  <c r="K6" i="5" s="1"/>
  <c r="AI7" i="5"/>
  <c r="AJ7" i="5" s="1"/>
  <c r="K7" i="5" s="1"/>
  <c r="AS5" i="5"/>
  <c r="L40" i="2" l="1"/>
  <c r="L48" i="2" s="1"/>
  <c r="T60" i="5" s="1"/>
  <c r="T66" i="5" s="1"/>
  <c r="L53" i="2" s="1"/>
  <c r="I36" i="2"/>
  <c r="I40" i="2"/>
  <c r="C44" i="2"/>
  <c r="M5" i="5" s="1"/>
  <c r="F40" i="2"/>
  <c r="F48" i="2" s="1"/>
  <c r="P60" i="5" s="1"/>
  <c r="P66" i="5" s="1"/>
  <c r="F53" i="2" s="1"/>
  <c r="C40" i="2"/>
  <c r="C48" i="2" l="1"/>
  <c r="O60" i="5" s="1"/>
  <c r="O66" i="5" s="1"/>
  <c r="I48" i="2"/>
  <c r="R60" i="5" s="1"/>
  <c r="R66" i="5" s="1"/>
  <c r="I53" i="2" s="1"/>
  <c r="C53" i="2" l="1"/>
  <c r="O53" i="2" s="1"/>
  <c r="Q58" i="2" l="1"/>
  <c r="E58" i="2"/>
  <c r="G58" i="2"/>
  <c r="K58" i="2"/>
  <c r="M58" i="2"/>
  <c r="S58" i="2"/>
  <c r="I58" i="2"/>
  <c r="O58" i="2"/>
  <c r="C5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H15" authorId="0" shapeId="0" xr:uid="{00000000-0006-0000-01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650,000円未満は下段へ移行</t>
        </r>
      </text>
    </comment>
  </commentList>
</comments>
</file>

<file path=xl/sharedStrings.xml><?xml version="1.0" encoding="utf-8"?>
<sst xmlns="http://schemas.openxmlformats.org/spreadsheetml/2006/main" count="581" uniqueCount="173">
  <si>
    <t>+</t>
    <phoneticPr fontId="2"/>
  </si>
  <si>
    <t>＝</t>
    <phoneticPr fontId="2"/>
  </si>
  <si>
    <t>医療分</t>
    <rPh sb="0" eb="2">
      <t>イリョウ</t>
    </rPh>
    <rPh sb="2" eb="3">
      <t>ブン</t>
    </rPh>
    <phoneticPr fontId="2"/>
  </si>
  <si>
    <t>小計</t>
    <rPh sb="0" eb="2">
      <t>ショウケイ</t>
    </rPh>
    <phoneticPr fontId="2"/>
  </si>
  <si>
    <t>所得</t>
    <rPh sb="0" eb="2">
      <t>ショトク</t>
    </rPh>
    <phoneticPr fontId="2"/>
  </si>
  <si>
    <t>軽減判定所得</t>
    <rPh sb="0" eb="2">
      <t>ケイゲン</t>
    </rPh>
    <rPh sb="2" eb="4">
      <t>ハンテイ</t>
    </rPh>
    <rPh sb="4" eb="6">
      <t>ショトク</t>
    </rPh>
    <phoneticPr fontId="2"/>
  </si>
  <si>
    <t>年金</t>
    <rPh sb="0" eb="2">
      <t>ネンキン</t>
    </rPh>
    <phoneticPr fontId="2"/>
  </si>
  <si>
    <t>所得割額</t>
    <rPh sb="0" eb="2">
      <t>ショトク</t>
    </rPh>
    <rPh sb="2" eb="3">
      <t>ワリ</t>
    </rPh>
    <rPh sb="3" eb="4">
      <t>ガク</t>
    </rPh>
    <phoneticPr fontId="2"/>
  </si>
  <si>
    <t>均等割額</t>
    <rPh sb="0" eb="3">
      <t>キントウワリ</t>
    </rPh>
    <rPh sb="3" eb="4">
      <t>ガク</t>
    </rPh>
    <phoneticPr fontId="2"/>
  </si>
  <si>
    <t>加入</t>
    <rPh sb="0" eb="2">
      <t>カニュウ</t>
    </rPh>
    <phoneticPr fontId="2"/>
  </si>
  <si>
    <t>基礎控除額</t>
    <rPh sb="0" eb="2">
      <t>キソ</t>
    </rPh>
    <rPh sb="2" eb="4">
      <t>コウジョ</t>
    </rPh>
    <rPh sb="4" eb="5">
      <t>ガク</t>
    </rPh>
    <phoneticPr fontId="2"/>
  </si>
  <si>
    <t>医療</t>
    <rPh sb="0" eb="2">
      <t>イリョウ</t>
    </rPh>
    <phoneticPr fontId="2"/>
  </si>
  <si>
    <t>支援</t>
    <rPh sb="0" eb="2">
      <t>シエン</t>
    </rPh>
    <phoneticPr fontId="2"/>
  </si>
  <si>
    <t>介護</t>
    <rPh sb="0" eb="2">
      <t>カイゴ</t>
    </rPh>
    <phoneticPr fontId="2"/>
  </si>
  <si>
    <t>世帯主</t>
    <rPh sb="0" eb="3">
      <t>セタイヌシ</t>
    </rPh>
    <phoneticPr fontId="2"/>
  </si>
  <si>
    <t>軽減判定</t>
    <rPh sb="0" eb="2">
      <t>ケイゲン</t>
    </rPh>
    <rPh sb="2" eb="4">
      <t>ハンテイ</t>
    </rPh>
    <phoneticPr fontId="2"/>
  </si>
  <si>
    <t>７割軽減</t>
    <rPh sb="1" eb="2">
      <t>ワリ</t>
    </rPh>
    <rPh sb="2" eb="4">
      <t>ケイゲン</t>
    </rPh>
    <phoneticPr fontId="2"/>
  </si>
  <si>
    <t>５割軽減</t>
    <rPh sb="1" eb="2">
      <t>ワリ</t>
    </rPh>
    <rPh sb="2" eb="4">
      <t>ケイゲン</t>
    </rPh>
    <phoneticPr fontId="2"/>
  </si>
  <si>
    <t>２割軽減</t>
    <rPh sb="1" eb="2">
      <t>ワリ</t>
    </rPh>
    <rPh sb="2" eb="4">
      <t>ケイゲン</t>
    </rPh>
    <phoneticPr fontId="2"/>
  </si>
  <si>
    <t>加入者数</t>
    <rPh sb="0" eb="3">
      <t>カニュウシャ</t>
    </rPh>
    <rPh sb="3" eb="4">
      <t>スウ</t>
    </rPh>
    <phoneticPr fontId="2"/>
  </si>
  <si>
    <t>×</t>
    <phoneticPr fontId="2"/>
  </si>
  <si>
    <t>擬制
世帯主</t>
    <rPh sb="0" eb="2">
      <t>ギセイ</t>
    </rPh>
    <rPh sb="3" eb="6">
      <t>セタイヌシ</t>
    </rPh>
    <phoneticPr fontId="2"/>
  </si>
  <si>
    <t>判定</t>
    <rPh sb="0" eb="2">
      <t>ハンテイ</t>
    </rPh>
    <phoneticPr fontId="2"/>
  </si>
  <si>
    <t>基準額</t>
    <rPh sb="0" eb="2">
      <t>キジュン</t>
    </rPh>
    <rPh sb="2" eb="3">
      <t>ガク</t>
    </rPh>
    <phoneticPr fontId="2"/>
  </si>
  <si>
    <t>軽減判定所得合計</t>
    <rPh sb="0" eb="2">
      <t>ケイゲン</t>
    </rPh>
    <rPh sb="2" eb="4">
      <t>ハンテイ</t>
    </rPh>
    <rPh sb="4" eb="6">
      <t>ショトク</t>
    </rPh>
    <rPh sb="6" eb="8">
      <t>ゴウケイ</t>
    </rPh>
    <phoneticPr fontId="2"/>
  </si>
  <si>
    <t>軽減７割</t>
    <rPh sb="0" eb="2">
      <t>ケイゲン</t>
    </rPh>
    <rPh sb="3" eb="4">
      <t>ワリ</t>
    </rPh>
    <phoneticPr fontId="2"/>
  </si>
  <si>
    <t>40-64歳
該当者</t>
    <rPh sb="5" eb="6">
      <t>サイ</t>
    </rPh>
    <rPh sb="7" eb="10">
      <t>ガイトウシャ</t>
    </rPh>
    <phoneticPr fontId="2"/>
  </si>
  <si>
    <t>軽減５割</t>
    <rPh sb="0" eb="2">
      <t>ケイゲン</t>
    </rPh>
    <rPh sb="3" eb="4">
      <t>ワリ</t>
    </rPh>
    <phoneticPr fontId="2"/>
  </si>
  <si>
    <t>軽減２割</t>
    <rPh sb="0" eb="2">
      <t>ケイゲン</t>
    </rPh>
    <rPh sb="3" eb="4">
      <t>ワリ</t>
    </rPh>
    <phoneticPr fontId="2"/>
  </si>
  <si>
    <t>軽減なし</t>
    <rPh sb="0" eb="2">
      <t>ケイゲン</t>
    </rPh>
    <phoneticPr fontId="2"/>
  </si>
  <si>
    <t>７割</t>
    <rPh sb="1" eb="2">
      <t>ワリ</t>
    </rPh>
    <phoneticPr fontId="2"/>
  </si>
  <si>
    <t>５割</t>
    <rPh sb="1" eb="2">
      <t>ワリ</t>
    </rPh>
    <phoneticPr fontId="2"/>
  </si>
  <si>
    <t>２割</t>
    <rPh sb="1" eb="2">
      <t>ワリ</t>
    </rPh>
    <phoneticPr fontId="2"/>
  </si>
  <si>
    <t>計</t>
    <rPh sb="0" eb="1">
      <t>ケイ</t>
    </rPh>
    <phoneticPr fontId="2"/>
  </si>
  <si>
    <t>平等割</t>
    <rPh sb="0" eb="2">
      <t>ビョウドウ</t>
    </rPh>
    <rPh sb="2" eb="3">
      <t>ワリ</t>
    </rPh>
    <phoneticPr fontId="2"/>
  </si>
  <si>
    <t>平等割額</t>
    <rPh sb="0" eb="2">
      <t>ビョウドウ</t>
    </rPh>
    <rPh sb="2" eb="3">
      <t>ワリ</t>
    </rPh>
    <rPh sb="3" eb="4">
      <t>ガク</t>
    </rPh>
    <phoneticPr fontId="2"/>
  </si>
  <si>
    <t>平等割額軽減額</t>
    <rPh sb="0" eb="2">
      <t>ビョウドウ</t>
    </rPh>
    <rPh sb="2" eb="3">
      <t>ワリ</t>
    </rPh>
    <rPh sb="3" eb="4">
      <t>ガク</t>
    </rPh>
    <rPh sb="4" eb="6">
      <t>ケイゲン</t>
    </rPh>
    <rPh sb="6" eb="7">
      <t>ガク</t>
    </rPh>
    <phoneticPr fontId="2"/>
  </si>
  <si>
    <t>介護保険関係</t>
    <rPh sb="0" eb="2">
      <t>カイゴ</t>
    </rPh>
    <rPh sb="2" eb="4">
      <t>ホケン</t>
    </rPh>
    <rPh sb="4" eb="6">
      <t>カンケイ</t>
    </rPh>
    <phoneticPr fontId="2"/>
  </si>
  <si>
    <r>
      <t xml:space="preserve">合計
</t>
    </r>
    <r>
      <rPr>
        <b/>
        <sz val="12"/>
        <color rgb="FFFF0000"/>
        <rFont val="ＭＳ Ｐゴシック"/>
        <family val="3"/>
        <charset val="128"/>
        <scheme val="minor"/>
      </rPr>
      <t>（100円未満切り捨て）</t>
    </r>
    <rPh sb="0" eb="2">
      <t>ゴウケイ</t>
    </rPh>
    <rPh sb="7" eb="8">
      <t>エン</t>
    </rPh>
    <rPh sb="8" eb="10">
      <t>ミマン</t>
    </rPh>
    <rPh sb="10" eb="11">
      <t>キ</t>
    </rPh>
    <rPh sb="12" eb="13">
      <t>ス</t>
    </rPh>
    <phoneticPr fontId="2"/>
  </si>
  <si>
    <t>該当
月数</t>
    <rPh sb="0" eb="2">
      <t>ガイトウ</t>
    </rPh>
    <rPh sb="3" eb="5">
      <t>ツキスウ</t>
    </rPh>
    <phoneticPr fontId="2"/>
  </si>
  <si>
    <t>加入
月数</t>
    <rPh sb="0" eb="2">
      <t>カニュウ</t>
    </rPh>
    <rPh sb="3" eb="4">
      <t>ツキ</t>
    </rPh>
    <rPh sb="4" eb="5">
      <t>スウ</t>
    </rPh>
    <phoneticPr fontId="2"/>
  </si>
  <si>
    <t>名前</t>
    <rPh sb="0" eb="2">
      <t>ナマエ</t>
    </rPh>
    <phoneticPr fontId="2"/>
  </si>
  <si>
    <t>なし</t>
    <phoneticPr fontId="2"/>
  </si>
  <si>
    <t>課税総所得金額</t>
    <rPh sb="0" eb="2">
      <t>カゼイ</t>
    </rPh>
    <rPh sb="2" eb="5">
      <t>ソウショトク</t>
    </rPh>
    <rPh sb="5" eb="7">
      <t>キンガク</t>
    </rPh>
    <phoneticPr fontId="2"/>
  </si>
  <si>
    <t>課税所得</t>
    <rPh sb="0" eb="2">
      <t>カゼイ</t>
    </rPh>
    <rPh sb="2" eb="4">
      <t>ショトク</t>
    </rPh>
    <phoneticPr fontId="2"/>
  </si>
  <si>
    <t>後期高齢者
支援分</t>
    <rPh sb="0" eb="2">
      <t>コウキ</t>
    </rPh>
    <rPh sb="2" eb="5">
      <t>コウレイシャ</t>
    </rPh>
    <rPh sb="6" eb="8">
      <t>シエン</t>
    </rPh>
    <rPh sb="8" eb="9">
      <t>ブン</t>
    </rPh>
    <phoneticPr fontId="2"/>
  </si>
  <si>
    <r>
      <t xml:space="preserve">介護保険分
</t>
    </r>
    <r>
      <rPr>
        <b/>
        <sz val="12"/>
        <color theme="1"/>
        <rFont val="ＭＳ Ｐゴシック"/>
        <family val="3"/>
        <charset val="128"/>
        <scheme val="minor"/>
      </rPr>
      <t>（40歳から64歳まで）</t>
    </r>
    <rPh sb="0" eb="2">
      <t>カイゴ</t>
    </rPh>
    <rPh sb="2" eb="4">
      <t>ホケン</t>
    </rPh>
    <rPh sb="4" eb="5">
      <t>ブン</t>
    </rPh>
    <rPh sb="9" eb="10">
      <t>サイ</t>
    </rPh>
    <rPh sb="14" eb="15">
      <t>サイ</t>
    </rPh>
    <phoneticPr fontId="2"/>
  </si>
  <si>
    <t>賦課限度額</t>
    <rPh sb="0" eb="2">
      <t>フカ</t>
    </rPh>
    <rPh sb="2" eb="4">
      <t>ゲンド</t>
    </rPh>
    <rPh sb="4" eb="5">
      <t>ガク</t>
    </rPh>
    <phoneticPr fontId="2"/>
  </si>
  <si>
    <t>所得割税率</t>
    <rPh sb="0" eb="2">
      <t>ショトク</t>
    </rPh>
    <rPh sb="2" eb="3">
      <t>ワリ</t>
    </rPh>
    <rPh sb="3" eb="5">
      <t>ゼイリツ</t>
    </rPh>
    <phoneticPr fontId="2"/>
  </si>
  <si>
    <t>小計合計</t>
    <rPh sb="0" eb="2">
      <t>ショウケイ</t>
    </rPh>
    <rPh sb="2" eb="4">
      <t>ゴウケイ</t>
    </rPh>
    <phoneticPr fontId="2"/>
  </si>
  <si>
    <t>賦課限度額反映後</t>
    <rPh sb="0" eb="2">
      <t>フカ</t>
    </rPh>
    <rPh sb="2" eb="4">
      <t>ゲンド</t>
    </rPh>
    <rPh sb="4" eb="5">
      <t>ガク</t>
    </rPh>
    <rPh sb="5" eb="7">
      <t>ハンエイ</t>
    </rPh>
    <rPh sb="7" eb="8">
      <t>ゴ</t>
    </rPh>
    <phoneticPr fontId="2"/>
  </si>
  <si>
    <t>軽減判定基準</t>
    <rPh sb="0" eb="2">
      <t>ケイゲン</t>
    </rPh>
    <rPh sb="2" eb="4">
      <t>ハンテイ</t>
    </rPh>
    <rPh sb="4" eb="6">
      <t>キジュン</t>
    </rPh>
    <phoneticPr fontId="2"/>
  </si>
  <si>
    <t>７割</t>
    <rPh sb="1" eb="2">
      <t>ワリ</t>
    </rPh>
    <phoneticPr fontId="2"/>
  </si>
  <si>
    <t>５割</t>
    <rPh sb="1" eb="2">
      <t>ワリ</t>
    </rPh>
    <phoneticPr fontId="2"/>
  </si>
  <si>
    <t>２割</t>
    <rPh sb="1" eb="2">
      <t>ワリ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</si>
  <si>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</si>
  <si>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</si>
  <si>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</si>
  <si>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</si>
  <si>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</si>
  <si>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</si>
  <si>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←</t>
    <phoneticPr fontId="2"/>
  </si>
  <si>
    <t>税額</t>
    <rPh sb="0" eb="2">
      <t>ゼイガク</t>
    </rPh>
    <phoneticPr fontId="2"/>
  </si>
  <si>
    <r>
      <rPr>
        <b/>
        <sz val="22"/>
        <color theme="1"/>
        <rFont val="ＭＳ Ｐゴシック"/>
        <family val="3"/>
        <charset val="128"/>
        <scheme val="minor"/>
      </rPr>
      <t>所得割</t>
    </r>
    <r>
      <rPr>
        <b/>
        <sz val="13"/>
        <color theme="1"/>
        <rFont val="ＭＳ Ｐゴシック"/>
        <family val="3"/>
        <charset val="128"/>
        <scheme val="minor"/>
      </rPr>
      <t xml:space="preserve">
</t>
    </r>
    <r>
      <rPr>
        <b/>
        <sz val="12"/>
        <color theme="1"/>
        <rFont val="ＭＳ Ｐゴシック"/>
        <family val="3"/>
        <charset val="128"/>
        <scheme val="minor"/>
      </rPr>
      <t>（課税総所得金額×各税率）
※月割り減額あり</t>
    </r>
    <rPh sb="0" eb="2">
      <t>ショトク</t>
    </rPh>
    <rPh sb="2" eb="3">
      <t>ワリ</t>
    </rPh>
    <rPh sb="5" eb="7">
      <t>カゼイ</t>
    </rPh>
    <rPh sb="7" eb="10">
      <t>ソウショトク</t>
    </rPh>
    <rPh sb="10" eb="12">
      <t>キンガク</t>
    </rPh>
    <rPh sb="13" eb="14">
      <t>カク</t>
    </rPh>
    <rPh sb="14" eb="16">
      <t>ゼイリツ</t>
    </rPh>
    <rPh sb="19" eb="21">
      <t>ツキワ</t>
    </rPh>
    <rPh sb="22" eb="24">
      <t>ゲンガク</t>
    </rPh>
    <phoneticPr fontId="2"/>
  </si>
  <si>
    <r>
      <rPr>
        <b/>
        <sz val="22"/>
        <color theme="1"/>
        <rFont val="ＭＳ Ｐゴシック"/>
        <family val="3"/>
        <charset val="128"/>
        <scheme val="minor"/>
      </rPr>
      <t>均等割</t>
    </r>
    <r>
      <rPr>
        <b/>
        <sz val="13"/>
        <color theme="1"/>
        <rFont val="ＭＳ Ｐゴシック"/>
        <family val="3"/>
        <charset val="128"/>
        <scheme val="minor"/>
      </rPr>
      <t xml:space="preserve">
（加入者数×均等割額）
※月割り減額あり</t>
    </r>
    <rPh sb="0" eb="2">
      <t>キントウ</t>
    </rPh>
    <rPh sb="2" eb="3">
      <t>ワリ</t>
    </rPh>
    <rPh sb="5" eb="8">
      <t>カニュウシャ</t>
    </rPh>
    <rPh sb="8" eb="9">
      <t>スウ</t>
    </rPh>
    <rPh sb="10" eb="13">
      <t>キントウワリ</t>
    </rPh>
    <rPh sb="13" eb="14">
      <t>ガク</t>
    </rPh>
    <rPh sb="17" eb="19">
      <t>ツキワ</t>
    </rPh>
    <rPh sb="20" eb="22">
      <t>ゲンガク</t>
    </rPh>
    <phoneticPr fontId="2"/>
  </si>
  <si>
    <r>
      <t xml:space="preserve">平等割
</t>
    </r>
    <r>
      <rPr>
        <b/>
        <sz val="13"/>
        <color theme="1"/>
        <rFont val="ＭＳ Ｐゴシック"/>
        <family val="3"/>
        <charset val="128"/>
        <scheme val="minor"/>
      </rPr>
      <t>（一世帯につき）
※月割り減額あり</t>
    </r>
    <rPh sb="0" eb="2">
      <t>ビョウドウ</t>
    </rPh>
    <rPh sb="2" eb="3">
      <t>ワリ</t>
    </rPh>
    <rPh sb="5" eb="8">
      <t>ヒトセタイ</t>
    </rPh>
    <rPh sb="14" eb="16">
      <t>ツキワ</t>
    </rPh>
    <rPh sb="17" eb="19">
      <t>ゲンガク</t>
    </rPh>
    <phoneticPr fontId="2"/>
  </si>
  <si>
    <t>給与所得の収入額の合計額（A）</t>
    <rPh sb="0" eb="2">
      <t>キュウヨ</t>
    </rPh>
    <rPh sb="2" eb="4">
      <t>ショトク</t>
    </rPh>
    <rPh sb="5" eb="7">
      <t>シュウニュウ</t>
    </rPh>
    <rPh sb="7" eb="8">
      <t>ガク</t>
    </rPh>
    <rPh sb="9" eb="11">
      <t>ゴウケイ</t>
    </rPh>
    <rPh sb="11" eb="12">
      <t>ガク</t>
    </rPh>
    <phoneticPr fontId="2"/>
  </si>
  <si>
    <t>給与所得控除額</t>
    <rPh sb="0" eb="2">
      <t>キュウヨ</t>
    </rPh>
    <rPh sb="2" eb="4">
      <t>ショトク</t>
    </rPh>
    <rPh sb="4" eb="6">
      <t>コウジョ</t>
    </rPh>
    <rPh sb="6" eb="7">
      <t>ガク</t>
    </rPh>
    <phoneticPr fontId="2"/>
  </si>
  <si>
    <t>→</t>
    <phoneticPr fontId="2"/>
  </si>
  <si>
    <t>収入金額
（A）</t>
    <rPh sb="0" eb="2">
      <t>シュウニュウ</t>
    </rPh>
    <rPh sb="2" eb="4">
      <t>キンガク</t>
    </rPh>
    <phoneticPr fontId="2"/>
  </si>
  <si>
    <t>給与所得控除額
（B）</t>
    <rPh sb="0" eb="2">
      <t>キュウヨ</t>
    </rPh>
    <rPh sb="2" eb="4">
      <t>ショトク</t>
    </rPh>
    <rPh sb="4" eb="6">
      <t>コウジョ</t>
    </rPh>
    <rPh sb="6" eb="7">
      <t>ガク</t>
    </rPh>
    <phoneticPr fontId="2"/>
  </si>
  <si>
    <t>○計算ツール</t>
    <rPh sb="1" eb="3">
      <t>ケイサン</t>
    </rPh>
    <phoneticPr fontId="2"/>
  </si>
  <si>
    <t>収入（支払）金額を入力してください</t>
    <rPh sb="0" eb="2">
      <t>シュウニュウ</t>
    </rPh>
    <rPh sb="3" eb="5">
      <t>シハライ</t>
    </rPh>
    <rPh sb="6" eb="8">
      <t>キンガク</t>
    </rPh>
    <rPh sb="9" eb="11">
      <t>ニュウリョク</t>
    </rPh>
    <phoneticPr fontId="2"/>
  </si>
  <si>
    <t>自動計算</t>
    <rPh sb="0" eb="2">
      <t>ジドウ</t>
    </rPh>
    <rPh sb="2" eb="4">
      <t>ケイサン</t>
    </rPh>
    <phoneticPr fontId="2"/>
  </si>
  <si>
    <t>↓</t>
    <phoneticPr fontId="2"/>
  </si>
  <si>
    <r>
      <t xml:space="preserve">給与所得控除後の金額
（A)-（B)
</t>
    </r>
    <r>
      <rPr>
        <sz val="11"/>
        <color rgb="FFFF0000"/>
        <rFont val="ＭＳ Ｐゴシック"/>
        <family val="3"/>
        <charset val="128"/>
        <scheme val="minor"/>
      </rPr>
      <t>※算出された数値を、「保険税試算」シートの⑤所得へ入力してください。</t>
    </r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20" eb="22">
      <t>サンシュツ</t>
    </rPh>
    <rPh sb="25" eb="27">
      <t>スウチ</t>
    </rPh>
    <rPh sb="30" eb="32">
      <t>ホケン</t>
    </rPh>
    <rPh sb="32" eb="33">
      <t>ゼイ</t>
    </rPh>
    <rPh sb="33" eb="35">
      <t>シサン</t>
    </rPh>
    <rPh sb="41" eb="43">
      <t>ショトク</t>
    </rPh>
    <rPh sb="44" eb="46">
      <t>ニュウリョク</t>
    </rPh>
    <phoneticPr fontId="2"/>
  </si>
  <si>
    <t>MEMO</t>
    <phoneticPr fontId="2"/>
  </si>
  <si>
    <t>太枠内へ必要事項をご入力ください。</t>
    <rPh sb="0" eb="2">
      <t>フトワク</t>
    </rPh>
    <rPh sb="2" eb="3">
      <t>ナイ</t>
    </rPh>
    <rPh sb="4" eb="6">
      <t>ヒツヨウ</t>
    </rPh>
    <rPh sb="6" eb="8">
      <t>ジコウ</t>
    </rPh>
    <rPh sb="10" eb="12">
      <t>ニュウリョク</t>
    </rPh>
    <phoneticPr fontId="2"/>
  </si>
  <si>
    <t>左記金額は、国保加入者にかかる税額全てを合算した金額です。</t>
    <rPh sb="0" eb="2">
      <t>サキ</t>
    </rPh>
    <rPh sb="2" eb="4">
      <t>キンガク</t>
    </rPh>
    <rPh sb="6" eb="8">
      <t>コクホ</t>
    </rPh>
    <rPh sb="8" eb="11">
      <t>カニュウシャ</t>
    </rPh>
    <rPh sb="15" eb="17">
      <t>ゼイガク</t>
    </rPh>
    <rPh sb="17" eb="18">
      <t>スベ</t>
    </rPh>
    <rPh sb="20" eb="22">
      <t>ガッサン</t>
    </rPh>
    <rPh sb="24" eb="26">
      <t>キンガク</t>
    </rPh>
    <phoneticPr fontId="2"/>
  </si>
  <si>
    <t>計算式</t>
    <rPh sb="0" eb="2">
      <t>ケイサン</t>
    </rPh>
    <rPh sb="2" eb="3">
      <t>シキ</t>
    </rPh>
    <phoneticPr fontId="2"/>
  </si>
  <si>
    <t>※給与所得控除額計算値（太枠内）が650,000以上は上段の数値
※給与所得控除額計算値（太枠内）が650,000未満は下段の数値</t>
    <rPh sb="1" eb="3">
      <t>キュウヨ</t>
    </rPh>
    <rPh sb="3" eb="5">
      <t>ショトク</t>
    </rPh>
    <rPh sb="5" eb="7">
      <t>コウジョ</t>
    </rPh>
    <rPh sb="7" eb="8">
      <t>ガク</t>
    </rPh>
    <rPh sb="8" eb="10">
      <t>ケイサン</t>
    </rPh>
    <rPh sb="10" eb="11">
      <t>アタイ</t>
    </rPh>
    <rPh sb="12" eb="14">
      <t>フトワク</t>
    </rPh>
    <rPh sb="14" eb="15">
      <t>ナイ</t>
    </rPh>
    <rPh sb="24" eb="26">
      <t>イジョウ</t>
    </rPh>
    <rPh sb="27" eb="29">
      <t>ジョウダン</t>
    </rPh>
    <rPh sb="30" eb="32">
      <t>スウチ</t>
    </rPh>
    <rPh sb="45" eb="47">
      <t>フトワク</t>
    </rPh>
    <rPh sb="47" eb="48">
      <t>ナイ</t>
    </rPh>
    <rPh sb="57" eb="59">
      <t>ミマン</t>
    </rPh>
    <rPh sb="60" eb="62">
      <t>ゲダン</t>
    </rPh>
    <phoneticPr fontId="2"/>
  </si>
  <si>
    <t>※同一年分の給与所得の源泉徴収票が２枚以上ある場合は、それらの支払金額の合計額により、上記の表を適用してください。</t>
    <rPh sb="1" eb="3">
      <t>ドウイツ</t>
    </rPh>
    <rPh sb="3" eb="5">
      <t>ネンブン</t>
    </rPh>
    <rPh sb="6" eb="8">
      <t>キュウヨ</t>
    </rPh>
    <rPh sb="8" eb="10">
      <t>ショトク</t>
    </rPh>
    <rPh sb="11" eb="13">
      <t>ゲンセン</t>
    </rPh>
    <rPh sb="13" eb="15">
      <t>チョウシュウ</t>
    </rPh>
    <rPh sb="15" eb="16">
      <t>ヒョウ</t>
    </rPh>
    <rPh sb="18" eb="19">
      <t>マイ</t>
    </rPh>
    <rPh sb="19" eb="21">
      <t>イジョウ</t>
    </rPh>
    <rPh sb="23" eb="25">
      <t>バアイ</t>
    </rPh>
    <rPh sb="31" eb="33">
      <t>シハライ</t>
    </rPh>
    <rPh sb="33" eb="35">
      <t>キンガク</t>
    </rPh>
    <rPh sb="36" eb="38">
      <t>ゴウケイ</t>
    </rPh>
    <rPh sb="38" eb="39">
      <t>ガク</t>
    </rPh>
    <rPh sb="43" eb="45">
      <t>ジョウキ</t>
    </rPh>
    <rPh sb="46" eb="47">
      <t>ヒョウ</t>
    </rPh>
    <rPh sb="48" eb="50">
      <t>テキヨウ</t>
    </rPh>
    <phoneticPr fontId="2"/>
  </si>
  <si>
    <t>○計算式</t>
    <rPh sb="1" eb="3">
      <t>ケイサン</t>
    </rPh>
    <rPh sb="3" eb="4">
      <t>シキ</t>
    </rPh>
    <phoneticPr fontId="2"/>
  </si>
  <si>
    <t>年金を受け取る方の年齢</t>
    <rPh sb="0" eb="2">
      <t>ネンキン</t>
    </rPh>
    <rPh sb="3" eb="4">
      <t>ウ</t>
    </rPh>
    <rPh sb="5" eb="6">
      <t>ト</t>
    </rPh>
    <rPh sb="7" eb="8">
      <t>カタ</t>
    </rPh>
    <rPh sb="9" eb="11">
      <t>ネンレイ</t>
    </rPh>
    <phoneticPr fontId="2"/>
  </si>
  <si>
    <t>公的年金等の収入金額の合計
（A）</t>
    <rPh sb="0" eb="2">
      <t>コウテキ</t>
    </rPh>
    <rPh sb="2" eb="4">
      <t>ネンキン</t>
    </rPh>
    <rPh sb="4" eb="5">
      <t>トウ</t>
    </rPh>
    <rPh sb="6" eb="8">
      <t>シュウニュウ</t>
    </rPh>
    <rPh sb="8" eb="9">
      <t>キン</t>
    </rPh>
    <rPh sb="9" eb="10">
      <t>ガク</t>
    </rPh>
    <rPh sb="11" eb="13">
      <t>ゴウケイ</t>
    </rPh>
    <phoneticPr fontId="2"/>
  </si>
  <si>
    <t>収入金額</t>
    <rPh sb="0" eb="2">
      <t>シュウニュウ</t>
    </rPh>
    <rPh sb="2" eb="4">
      <t>キンガク</t>
    </rPh>
    <phoneticPr fontId="2"/>
  </si>
  <si>
    <t>収入金額をご入力ください</t>
    <rPh sb="0" eb="2">
      <t>シュウニュウ</t>
    </rPh>
    <rPh sb="2" eb="4">
      <t>キンガク</t>
    </rPh>
    <rPh sb="6" eb="8">
      <t>ニュウリョク</t>
    </rPh>
    <phoneticPr fontId="2"/>
  </si>
  <si>
    <r>
      <t xml:space="preserve">年金所得金額
</t>
    </r>
    <r>
      <rPr>
        <sz val="11"/>
        <color rgb="FFFF0000"/>
        <rFont val="ＭＳ Ｐゴシック"/>
        <family val="3"/>
        <charset val="128"/>
        <scheme val="minor"/>
      </rPr>
      <t>※算出された数値を、「保険税試算」シートの⑤所得の欄へ入力してください</t>
    </r>
    <rPh sb="0" eb="2">
      <t>ネンキン</t>
    </rPh>
    <rPh sb="2" eb="4">
      <t>ショトク</t>
    </rPh>
    <rPh sb="4" eb="6">
      <t>キンガク</t>
    </rPh>
    <rPh sb="8" eb="10">
      <t>サンシュツ</t>
    </rPh>
    <rPh sb="13" eb="15">
      <t>スウチ</t>
    </rPh>
    <rPh sb="18" eb="20">
      <t>ホケン</t>
    </rPh>
    <rPh sb="20" eb="21">
      <t>ゼイ</t>
    </rPh>
    <rPh sb="21" eb="23">
      <t>シサン</t>
    </rPh>
    <rPh sb="29" eb="31">
      <t>ショトク</t>
    </rPh>
    <rPh sb="32" eb="33">
      <t>ラン</t>
    </rPh>
    <rPh sb="34" eb="36">
      <t>ニュウリョク</t>
    </rPh>
    <phoneticPr fontId="2"/>
  </si>
  <si>
    <t>　　</t>
    <phoneticPr fontId="2"/>
  </si>
  <si>
    <t>　</t>
  </si>
  <si>
    <t>8,5000,000円超</t>
    <rPh sb="10" eb="11">
      <t>エン</t>
    </rPh>
    <rPh sb="11" eb="12">
      <t>チョウ</t>
    </rPh>
    <phoneticPr fontId="2"/>
  </si>
  <si>
    <t>10,000,000円以下</t>
    <rPh sb="2" eb="11">
      <t>００００００エン</t>
    </rPh>
    <rPh sb="11" eb="13">
      <t>イカ</t>
    </rPh>
    <phoneticPr fontId="2"/>
  </si>
  <si>
    <t>公的年金等以外の所得金額の合計額（繰越損失控除前）</t>
    <rPh sb="0" eb="2">
      <t>コウテキ</t>
    </rPh>
    <rPh sb="2" eb="5">
      <t>ネンキントウ</t>
    </rPh>
    <rPh sb="5" eb="7">
      <t>イガイ</t>
    </rPh>
    <rPh sb="8" eb="10">
      <t>ショトク</t>
    </rPh>
    <rPh sb="10" eb="12">
      <t>キンガク</t>
    </rPh>
    <rPh sb="13" eb="15">
      <t>ゴウケイ</t>
    </rPh>
    <rPh sb="15" eb="16">
      <t>ガク</t>
    </rPh>
    <rPh sb="17" eb="19">
      <t>クリコシ</t>
    </rPh>
    <rPh sb="19" eb="21">
      <t>ソンシツ</t>
    </rPh>
    <rPh sb="21" eb="23">
      <t>コウジョ</t>
    </rPh>
    <rPh sb="23" eb="24">
      <t>マエ</t>
    </rPh>
    <phoneticPr fontId="2"/>
  </si>
  <si>
    <t>（A)-600,000円</t>
    <rPh sb="11" eb="12">
      <t>エン</t>
    </rPh>
    <phoneticPr fontId="2"/>
  </si>
  <si>
    <t>（A)×75％-275,000円</t>
    <rPh sb="15" eb="16">
      <t>エン</t>
    </rPh>
    <phoneticPr fontId="2"/>
  </si>
  <si>
    <t>（A)×85％-685,000円</t>
    <rPh sb="15" eb="16">
      <t>エン</t>
    </rPh>
    <phoneticPr fontId="2"/>
  </si>
  <si>
    <t>（A)×95％-1,455,000円</t>
    <rPh sb="17" eb="18">
      <t>エン</t>
    </rPh>
    <phoneticPr fontId="2"/>
  </si>
  <si>
    <t>（A)-1,955,000円</t>
    <rPh sb="13" eb="14">
      <t>エン</t>
    </rPh>
    <phoneticPr fontId="2"/>
  </si>
  <si>
    <t>（A)-1,100,000円</t>
    <rPh sb="13" eb="14">
      <t>エン</t>
    </rPh>
    <phoneticPr fontId="2"/>
  </si>
  <si>
    <t>10,000,000円超20,000,000円以下</t>
    <rPh sb="2" eb="11">
      <t>００００００エン</t>
    </rPh>
    <rPh sb="11" eb="12">
      <t>チョウ</t>
    </rPh>
    <rPh sb="14" eb="23">
      <t>００００００エン</t>
    </rPh>
    <rPh sb="23" eb="25">
      <t>イカ</t>
    </rPh>
    <phoneticPr fontId="2"/>
  </si>
  <si>
    <t>20,000,000円超</t>
    <rPh sb="2" eb="11">
      <t>００００００エン</t>
    </rPh>
    <rPh sb="11" eb="12">
      <t>チョウ</t>
    </rPh>
    <phoneticPr fontId="2"/>
  </si>
  <si>
    <t>（A)-400,000円</t>
    <rPh sb="11" eb="12">
      <t>エン</t>
    </rPh>
    <phoneticPr fontId="2"/>
  </si>
  <si>
    <t>（A)-500,000円</t>
    <rPh sb="11" eb="12">
      <t>エン</t>
    </rPh>
    <phoneticPr fontId="2"/>
  </si>
  <si>
    <t>（A)×75％-175,000円</t>
    <rPh sb="15" eb="16">
      <t>エン</t>
    </rPh>
    <phoneticPr fontId="2"/>
  </si>
  <si>
    <t>（A)×75％-75,000円</t>
    <rPh sb="14" eb="15">
      <t>エン</t>
    </rPh>
    <phoneticPr fontId="2"/>
  </si>
  <si>
    <t>（A)×85％-585,000円</t>
    <rPh sb="15" eb="16">
      <t>エン</t>
    </rPh>
    <phoneticPr fontId="2"/>
  </si>
  <si>
    <t>（A)×85％-485,000円</t>
    <rPh sb="15" eb="16">
      <t>エン</t>
    </rPh>
    <phoneticPr fontId="2"/>
  </si>
  <si>
    <t>（A)×95％-1,255,000円</t>
    <rPh sb="17" eb="18">
      <t>エン</t>
    </rPh>
    <phoneticPr fontId="2"/>
  </si>
  <si>
    <t>（A)×95％-1,355,000円</t>
    <rPh sb="17" eb="18">
      <t>エン</t>
    </rPh>
    <phoneticPr fontId="2"/>
  </si>
  <si>
    <t>（A)-1,855,000円</t>
    <rPh sb="13" eb="14">
      <t>エン</t>
    </rPh>
    <phoneticPr fontId="2"/>
  </si>
  <si>
    <t>（A)-1,755,000円</t>
    <rPh sb="13" eb="14">
      <t>エン</t>
    </rPh>
    <phoneticPr fontId="2"/>
  </si>
  <si>
    <t>（A)-1,000,000円</t>
    <rPh sb="13" eb="14">
      <t>エン</t>
    </rPh>
    <phoneticPr fontId="2"/>
  </si>
  <si>
    <t>（A)-900,000円</t>
    <rPh sb="11" eb="12">
      <t>エン</t>
    </rPh>
    <phoneticPr fontId="2"/>
  </si>
  <si>
    <t>○自動計算ツール(1,000万以下）</t>
    <rPh sb="1" eb="3">
      <t>ジドウ</t>
    </rPh>
    <rPh sb="3" eb="5">
      <t>ケイサン</t>
    </rPh>
    <rPh sb="14" eb="15">
      <t>マン</t>
    </rPh>
    <rPh sb="15" eb="17">
      <t>イカ</t>
    </rPh>
    <phoneticPr fontId="2"/>
  </si>
  <si>
    <t>○自動計算ツール(1,000万超2,000万以下）</t>
    <rPh sb="1" eb="3">
      <t>ジドウ</t>
    </rPh>
    <rPh sb="3" eb="5">
      <t>ケイサン</t>
    </rPh>
    <rPh sb="14" eb="15">
      <t>マン</t>
    </rPh>
    <rPh sb="15" eb="16">
      <t>チョウ</t>
    </rPh>
    <rPh sb="21" eb="22">
      <t>マン</t>
    </rPh>
    <rPh sb="22" eb="24">
      <t>イカ</t>
    </rPh>
    <phoneticPr fontId="2"/>
  </si>
  <si>
    <t>○自動計算ツール2,000万超）</t>
    <rPh sb="1" eb="3">
      <t>ジドウ</t>
    </rPh>
    <rPh sb="3" eb="5">
      <t>ケイサン</t>
    </rPh>
    <rPh sb="13" eb="14">
      <t>マン</t>
    </rPh>
    <rPh sb="14" eb="15">
      <t>チョウ</t>
    </rPh>
    <phoneticPr fontId="2"/>
  </si>
  <si>
    <t>＋</t>
    <phoneticPr fontId="2"/>
  </si>
  <si>
    <t>⑦</t>
    <phoneticPr fontId="2"/>
  </si>
  <si>
    <t>○</t>
  </si>
  <si>
    <t>給与所得者等</t>
    <rPh sb="0" eb="2">
      <t>キュウヨ</t>
    </rPh>
    <rPh sb="2" eb="4">
      <t>ショトク</t>
    </rPh>
    <rPh sb="4" eb="5">
      <t>シャ</t>
    </rPh>
    <rPh sb="5" eb="6">
      <t>トウ</t>
    </rPh>
    <phoneticPr fontId="2"/>
  </si>
  <si>
    <t>未就学児
該当者</t>
    <rPh sb="0" eb="4">
      <t>ミシュウガクジ</t>
    </rPh>
    <rPh sb="5" eb="8">
      <t>ガイトウシャ</t>
    </rPh>
    <phoneticPr fontId="2"/>
  </si>
  <si>
    <t>未就学児軽減額</t>
    <rPh sb="0" eb="4">
      <t>ミシュウガクジ</t>
    </rPh>
    <rPh sb="4" eb="6">
      <t>ケイゲン</t>
    </rPh>
    <rPh sb="6" eb="7">
      <t>ガク</t>
    </rPh>
    <phoneticPr fontId="2"/>
  </si>
  <si>
    <t>⑧</t>
    <phoneticPr fontId="2"/>
  </si>
  <si>
    <t>所得割税率</t>
    <phoneticPr fontId="2"/>
  </si>
  <si>
    <t>①R８年度</t>
    <rPh sb="3" eb="5">
      <t>ネンド</t>
    </rPh>
    <phoneticPr fontId="2"/>
  </si>
  <si>
    <t>子ども</t>
    <rPh sb="0" eb="1">
      <t>コ</t>
    </rPh>
    <phoneticPr fontId="2"/>
  </si>
  <si>
    <r>
      <t>子ども・子育て
支援分</t>
    </r>
    <r>
      <rPr>
        <b/>
        <sz val="12"/>
        <color theme="1"/>
        <rFont val="ＭＳ Ｐゴシック"/>
        <family val="3"/>
        <charset val="128"/>
        <scheme val="minor"/>
      </rPr>
      <t>（18歳以上）</t>
    </r>
    <rPh sb="0" eb="1">
      <t>コ</t>
    </rPh>
    <rPh sb="4" eb="6">
      <t>コソダ</t>
    </rPh>
    <rPh sb="8" eb="10">
      <t>シエン</t>
    </rPh>
    <rPh sb="10" eb="11">
      <t>ブン</t>
    </rPh>
    <rPh sb="14" eb="17">
      <t>サイイジョウ</t>
    </rPh>
    <phoneticPr fontId="2"/>
  </si>
  <si>
    <t>令和８年度国保加入期間：２０２６年４月～２０２７年３月</t>
    <rPh sb="0" eb="2">
      <t>レイワ</t>
    </rPh>
    <rPh sb="3" eb="5">
      <t>ネンド</t>
    </rPh>
    <rPh sb="5" eb="7">
      <t>コクホ</t>
    </rPh>
    <rPh sb="7" eb="9">
      <t>カニュウ</t>
    </rPh>
    <rPh sb="9" eb="11">
      <t>キカン</t>
    </rPh>
    <rPh sb="16" eb="17">
      <t>ネン</t>
    </rPh>
    <rPh sb="18" eb="19">
      <t>ガツ</t>
    </rPh>
    <rPh sb="24" eb="25">
      <t>ネン</t>
    </rPh>
    <rPh sb="26" eb="27">
      <t>ガツ</t>
    </rPh>
    <phoneticPr fontId="2"/>
  </si>
  <si>
    <r>
      <rPr>
        <sz val="14"/>
        <color theme="1"/>
        <rFont val="ＭＳ Ｐゴシック"/>
        <family val="3"/>
        <charset val="128"/>
        <scheme val="minor"/>
      </rPr>
      <t>18歳未満</t>
    </r>
    <r>
      <rPr>
        <sz val="16"/>
        <color theme="1"/>
        <rFont val="ＭＳ Ｐゴシック"/>
        <family val="3"/>
        <charset val="128"/>
        <scheme val="minor"/>
      </rPr>
      <t xml:space="preserve">
該当者</t>
    </r>
    <rPh sb="2" eb="3">
      <t>サイ</t>
    </rPh>
    <rPh sb="3" eb="5">
      <t>ミマン</t>
    </rPh>
    <rPh sb="6" eb="9">
      <t>ガイトウシャ</t>
    </rPh>
    <phoneticPr fontId="2"/>
  </si>
  <si>
    <t>６５歳未満
（昭和３６年１月２日以後に生まれた方）</t>
    <rPh sb="2" eb="5">
      <t>サイミマン</t>
    </rPh>
    <rPh sb="7" eb="9">
      <t>ショウワ</t>
    </rPh>
    <rPh sb="11" eb="12">
      <t>ネン</t>
    </rPh>
    <rPh sb="13" eb="14">
      <t>ガツ</t>
    </rPh>
    <rPh sb="15" eb="16">
      <t>ニチ</t>
    </rPh>
    <rPh sb="19" eb="20">
      <t>ウ</t>
    </rPh>
    <rPh sb="23" eb="24">
      <t>カタ</t>
    </rPh>
    <phoneticPr fontId="2"/>
  </si>
  <si>
    <t>６５歳以上
（昭和３６年１月１日以前に生まれた方）</t>
    <rPh sb="2" eb="5">
      <t>サイイジョウ</t>
    </rPh>
    <rPh sb="7" eb="9">
      <t>ショウワ</t>
    </rPh>
    <rPh sb="11" eb="12">
      <t>ネン</t>
    </rPh>
    <rPh sb="13" eb="14">
      <t>ガツ</t>
    </rPh>
    <rPh sb="15" eb="16">
      <t>ニチ</t>
    </rPh>
    <rPh sb="16" eb="18">
      <t>イゼン</t>
    </rPh>
    <rPh sb="19" eb="20">
      <t>ウ</t>
    </rPh>
    <rPh sb="23" eb="24">
      <t>カタ</t>
    </rPh>
    <phoneticPr fontId="2"/>
  </si>
  <si>
    <t>６５歳未満
（昭和３６年１月２日以後に生まれた方）</t>
    <rPh sb="2" eb="5">
      <t>サイミマン</t>
    </rPh>
    <rPh sb="11" eb="12">
      <t>ネン</t>
    </rPh>
    <rPh sb="13" eb="14">
      <t>ガツ</t>
    </rPh>
    <rPh sb="15" eb="16">
      <t>ニチ</t>
    </rPh>
    <rPh sb="19" eb="20">
      <t>ウ</t>
    </rPh>
    <rPh sb="23" eb="24">
      <t>カタ</t>
    </rPh>
    <phoneticPr fontId="2"/>
  </si>
  <si>
    <t>６５歳以上
（昭和３６年１月１日以前に生まれた方）</t>
    <rPh sb="2" eb="5">
      <t>サイイジョウ</t>
    </rPh>
    <rPh sb="11" eb="12">
      <t>ネン</t>
    </rPh>
    <rPh sb="13" eb="14">
      <t>ガツ</t>
    </rPh>
    <rPh sb="15" eb="16">
      <t>ニチ</t>
    </rPh>
    <rPh sb="16" eb="18">
      <t>イゼン</t>
    </rPh>
    <rPh sb="19" eb="20">
      <t>ウ</t>
    </rPh>
    <rPh sb="23" eb="24">
      <t>カタ</t>
    </rPh>
    <phoneticPr fontId="2"/>
  </si>
  <si>
    <t>１期</t>
    <rPh sb="1" eb="2">
      <t>キ</t>
    </rPh>
    <phoneticPr fontId="2"/>
  </si>
  <si>
    <t>２期</t>
    <rPh sb="1" eb="2">
      <t>キ</t>
    </rPh>
    <phoneticPr fontId="2"/>
  </si>
  <si>
    <t>３期</t>
    <rPh sb="1" eb="2">
      <t>キ</t>
    </rPh>
    <phoneticPr fontId="2"/>
  </si>
  <si>
    <t>４期</t>
    <rPh sb="1" eb="2">
      <t>キ</t>
    </rPh>
    <phoneticPr fontId="2"/>
  </si>
  <si>
    <t>５期</t>
    <rPh sb="1" eb="2">
      <t>キ</t>
    </rPh>
    <phoneticPr fontId="2"/>
  </si>
  <si>
    <t>６期</t>
    <rPh sb="1" eb="2">
      <t>キ</t>
    </rPh>
    <phoneticPr fontId="2"/>
  </si>
  <si>
    <t>７期</t>
    <rPh sb="1" eb="2">
      <t>キ</t>
    </rPh>
    <phoneticPr fontId="2"/>
  </si>
  <si>
    <t>８期</t>
    <rPh sb="1" eb="2">
      <t>キ</t>
    </rPh>
    <phoneticPr fontId="2"/>
  </si>
  <si>
    <t>９期</t>
    <rPh sb="1" eb="2">
      <t>キ</t>
    </rPh>
    <phoneticPr fontId="2"/>
  </si>
  <si>
    <t>期別納付額</t>
    <rPh sb="0" eb="2">
      <t>キベツ</t>
    </rPh>
    <rPh sb="2" eb="5">
      <t>ノウフガク</t>
    </rPh>
    <phoneticPr fontId="2"/>
  </si>
  <si>
    <t>１期から納付が
始まると仮定すると…</t>
    <rPh sb="1" eb="2">
      <t>キ</t>
    </rPh>
    <rPh sb="4" eb="6">
      <t>ノウフ</t>
    </rPh>
    <rPh sb="8" eb="9">
      <t>ハジ</t>
    </rPh>
    <rPh sb="12" eb="14">
      <t>カテイ</t>
    </rPh>
    <phoneticPr fontId="2"/>
  </si>
  <si>
    <t>⑨</t>
    <phoneticPr fontId="2"/>
  </si>
  <si>
    <t>給与所得の収入額の合計額　A</t>
    <rPh sb="0" eb="2">
      <t>キュウヨ</t>
    </rPh>
    <rPh sb="2" eb="4">
      <t>ショトク</t>
    </rPh>
    <rPh sb="5" eb="7">
      <t>シュウニュウ</t>
    </rPh>
    <rPh sb="7" eb="8">
      <t>ガク</t>
    </rPh>
    <rPh sb="9" eb="11">
      <t>ゴウケイ</t>
    </rPh>
    <rPh sb="11" eb="12">
      <t>ガク</t>
    </rPh>
    <phoneticPr fontId="2"/>
  </si>
  <si>
    <t>A-1,950,000円</t>
    <rPh sb="11" eb="12">
      <t>エン</t>
    </rPh>
    <phoneticPr fontId="2"/>
  </si>
  <si>
    <t>A×30％＋80,000円</t>
    <rPh sb="12" eb="13">
      <t>エン</t>
    </rPh>
    <phoneticPr fontId="2"/>
  </si>
  <si>
    <t>1,900,000円以下</t>
    <rPh sb="9" eb="10">
      <t>エン</t>
    </rPh>
    <rPh sb="10" eb="12">
      <t>イカ</t>
    </rPh>
    <phoneticPr fontId="2"/>
  </si>
  <si>
    <t>1,900,000円超　3,600,000円以下</t>
    <rPh sb="9" eb="10">
      <t>エン</t>
    </rPh>
    <rPh sb="10" eb="11">
      <t>チョウ</t>
    </rPh>
    <rPh sb="21" eb="22">
      <t>エン</t>
    </rPh>
    <rPh sb="22" eb="24">
      <t>イカ</t>
    </rPh>
    <phoneticPr fontId="2"/>
  </si>
  <si>
    <t>3,600,000円超　6,600,000円以下</t>
    <rPh sb="9" eb="10">
      <t>エン</t>
    </rPh>
    <rPh sb="10" eb="11">
      <t>チョウ</t>
    </rPh>
    <rPh sb="21" eb="22">
      <t>エン</t>
    </rPh>
    <rPh sb="22" eb="24">
      <t>イカ</t>
    </rPh>
    <phoneticPr fontId="2"/>
  </si>
  <si>
    <t>A×20％+44,000円　</t>
    <rPh sb="12" eb="13">
      <t>エン</t>
    </rPh>
    <phoneticPr fontId="2"/>
  </si>
  <si>
    <t>6,600,000円超　8,500,000円以下</t>
    <rPh sb="9" eb="10">
      <t>エン</t>
    </rPh>
    <rPh sb="10" eb="11">
      <t>チョウ</t>
    </rPh>
    <rPh sb="21" eb="22">
      <t>エン</t>
    </rPh>
    <rPh sb="22" eb="24">
      <t>イカ</t>
    </rPh>
    <phoneticPr fontId="2"/>
  </si>
  <si>
    <t>A×10％＋1,100,000円</t>
    <rPh sb="15" eb="16">
      <t>エン</t>
    </rPh>
    <phoneticPr fontId="2"/>
  </si>
  <si>
    <t>650,000円</t>
    <rPh sb="7" eb="8">
      <t>エン</t>
    </rPh>
    <phoneticPr fontId="2"/>
  </si>
  <si>
    <t>子ども・子育て
関係</t>
    <rPh sb="0" eb="1">
      <t>コ</t>
    </rPh>
    <rPh sb="4" eb="6">
      <t>コソダ</t>
    </rPh>
    <rPh sb="8" eb="10">
      <t>カンケイ</t>
    </rPh>
    <phoneticPr fontId="2"/>
  </si>
  <si>
    <t>医療分</t>
    <rPh sb="0" eb="3">
      <t>イリョウブン</t>
    </rPh>
    <phoneticPr fontId="2"/>
  </si>
  <si>
    <t>後期高齢者支援分</t>
    <rPh sb="0" eb="5">
      <t>コウキコウレイシャ</t>
    </rPh>
    <rPh sb="5" eb="8">
      <t>シエンブン</t>
    </rPh>
    <phoneticPr fontId="2"/>
  </si>
  <si>
    <t>介護保険分</t>
    <rPh sb="0" eb="5">
      <t>カイゴホケンブン</t>
    </rPh>
    <phoneticPr fontId="2"/>
  </si>
  <si>
    <t>子ども・子育て支援分</t>
    <rPh sb="0" eb="1">
      <t>コ</t>
    </rPh>
    <rPh sb="4" eb="6">
      <t>コソダ</t>
    </rPh>
    <rPh sb="7" eb="9">
      <t>シエン</t>
    </rPh>
    <rPh sb="9" eb="10">
      <t>ブン</t>
    </rPh>
    <phoneticPr fontId="2"/>
  </si>
  <si>
    <t>エラー
チェック</t>
    <phoneticPr fontId="2"/>
  </si>
  <si>
    <t xml:space="preserve">⑩
</t>
    <phoneticPr fontId="2"/>
  </si>
  <si>
    <r>
      <rPr>
        <b/>
        <sz val="24"/>
        <color theme="1"/>
        <rFont val="ＭＳ Ｐゴシック"/>
        <family val="3"/>
        <charset val="128"/>
        <scheme val="minor"/>
      </rPr>
      <t>○太枠内入力時の注意事項</t>
    </r>
    <r>
      <rPr>
        <sz val="24"/>
        <color theme="1"/>
        <rFont val="ＭＳ Ｐゴシック"/>
        <family val="3"/>
        <charset val="128"/>
        <scheme val="minor"/>
      </rPr>
      <t xml:space="preserve">
①　国保加入者（加入予定者）のお名前を入力してください。</t>
    </r>
    <r>
      <rPr>
        <sz val="24"/>
        <color rgb="FFFF0000"/>
        <rFont val="ＭＳ Ｐゴシック"/>
        <family val="3"/>
        <charset val="128"/>
        <scheme val="minor"/>
      </rPr>
      <t>世帯主の方のお名前は必ず入力してください。</t>
    </r>
    <r>
      <rPr>
        <sz val="24"/>
        <color theme="1"/>
        <rFont val="ＭＳ Ｐゴシック"/>
        <family val="3"/>
        <charset val="128"/>
        <scheme val="minor"/>
      </rPr>
      <t xml:space="preserve">
②　世帯主の方が国保以外の社会保険等へ加入している場合は、</t>
    </r>
    <r>
      <rPr>
        <sz val="24"/>
        <color rgb="FFFF0000"/>
        <rFont val="ＭＳ Ｐゴシック"/>
        <family val="3"/>
        <charset val="128"/>
        <scheme val="minor"/>
      </rPr>
      <t>「擬制世帯主」の欄に○を入力してください。擬制世帯主の方は、③、④の入力は不要です。</t>
    </r>
    <r>
      <rPr>
        <sz val="24"/>
        <color theme="1"/>
        <rFont val="ＭＳ Ｐゴシック"/>
        <family val="3"/>
        <charset val="128"/>
        <scheme val="minor"/>
      </rPr>
      <t xml:space="preserve">
③　「加入」欄へ○を入力し、</t>
    </r>
    <r>
      <rPr>
        <sz val="24"/>
        <color rgb="FFFF0000"/>
        <rFont val="ＭＳ Ｐゴシック"/>
        <family val="3"/>
        <charset val="128"/>
        <scheme val="minor"/>
      </rPr>
      <t>加入期間内における、資格取得月から脱退予定月の前月までの加入月数を入力</t>
    </r>
    <r>
      <rPr>
        <sz val="24"/>
        <color theme="1"/>
        <rFont val="ＭＳ Ｐゴシック"/>
        <family val="3"/>
        <charset val="128"/>
        <scheme val="minor"/>
      </rPr>
      <t>してください。
（例１）　2026年4月に転入し、2027年3月以降も国保加入予定→加入月数「12」（2026.4-2027.3）
（例２）　2026年4月に社会保険から国保へ切り替えた後、2027年3月に社会保険へ再度加入する予定→加入月数「11」（2026.4-2027.2）
（例３）　2026年7月に転入し、2026年12月に転出する予定→加入月数「5」（2026.7-11）
④　国保加入者のうち、</t>
    </r>
    <r>
      <rPr>
        <sz val="24"/>
        <color rgb="FFFF0000"/>
        <rFont val="ＭＳ Ｐゴシック"/>
        <family val="3"/>
        <charset val="128"/>
        <scheme val="minor"/>
      </rPr>
      <t>加入期間中に40歳以上65歳未満である方は、「40-64歳該当者」欄へ○を入力し、当該年齢に該当する月数を「該当月数」へ入力</t>
    </r>
    <r>
      <rPr>
        <sz val="24"/>
        <color theme="1"/>
        <rFont val="ＭＳ Ｐゴシック"/>
        <family val="3"/>
        <charset val="128"/>
        <scheme val="minor"/>
      </rPr>
      <t>してください。
（例１）　加入期間中、40歳から64歳に該当している→該当月数「12」（2026.4-2027.3）
（例２）　2026年6月に40歳の誕生日を迎えた→該当月数「10」（2026.6-2027.3）
（例３）　2027年1月に65歳の誕生日を迎えた→該当月数「9」（2026.4-12）
⑤　国保加入者のうち、</t>
    </r>
    <r>
      <rPr>
        <sz val="24"/>
        <color rgb="FFFF0000"/>
        <rFont val="ＭＳ Ｐゴシック"/>
        <family val="3"/>
        <charset val="128"/>
        <scheme val="minor"/>
      </rPr>
      <t>、18歳に達する日以後の最初の3月31日までにある方は、「18歳未満該当者」欄へ〇を入力してください。</t>
    </r>
    <r>
      <rPr>
        <sz val="24"/>
        <color theme="1"/>
        <rFont val="ＭＳ Ｐゴシック"/>
        <family val="3"/>
        <charset val="128"/>
        <scheme val="minor"/>
      </rPr>
      <t xml:space="preserve">
⑥　</t>
    </r>
    <r>
      <rPr>
        <sz val="24"/>
        <color rgb="FFFF0000"/>
        <rFont val="ＭＳ Ｐゴシック"/>
        <family val="3"/>
        <charset val="128"/>
        <scheme val="minor"/>
      </rPr>
      <t>各加入者の2026年中の所得金額を入力</t>
    </r>
    <r>
      <rPr>
        <sz val="24"/>
        <color theme="1"/>
        <rFont val="ＭＳ Ｐゴシック"/>
        <family val="3"/>
        <charset val="128"/>
        <scheme val="minor"/>
      </rPr>
      <t>してください</t>
    </r>
    <r>
      <rPr>
        <sz val="24"/>
        <color rgb="FFFF0000"/>
        <rFont val="ＭＳ Ｐゴシック"/>
        <family val="3"/>
        <charset val="128"/>
        <scheme val="minor"/>
      </rPr>
      <t>（令和7年分源泉徴収票の「給与（年金）所得控除後の金額」または事業収入から必要経費を差し引いた金額）。給与・年金等の収入（支払）しかわからない方は、「給与所得速算表」、「年金所得速算表」をご活用ください。
※詳しくは、国税庁のホームページをご確認ください。</t>
    </r>
    <r>
      <rPr>
        <sz val="24"/>
        <color theme="1"/>
        <rFont val="ＭＳ Ｐゴシック"/>
        <family val="3"/>
        <charset val="128"/>
        <scheme val="minor"/>
      </rPr>
      <t xml:space="preserve">
⑦　2025年中に得られた所得のうち、</t>
    </r>
    <r>
      <rPr>
        <sz val="24"/>
        <color rgb="FFFF0000"/>
        <rFont val="ＭＳ Ｐゴシック"/>
        <family val="3"/>
        <charset val="128"/>
        <scheme val="minor"/>
      </rPr>
      <t>年金所得があり昭和36年1月1日以前生まれの方は、「年金」欄へ○を入力</t>
    </r>
    <r>
      <rPr>
        <sz val="24"/>
        <color theme="1"/>
        <rFont val="ＭＳ Ｐゴシック"/>
        <family val="3"/>
        <charset val="128"/>
        <scheme val="minor"/>
      </rPr>
      <t>してください。
⑧  所得のうち、給与所得がある方は○を入力してください。
⑨　国保加入者のうち、未就学児（令和2年4月2日以降に出生された方）がいる場合は○を入力してください。
⑩　エラーチェック欄がNGとなっている場合は、④欄と⑤欄を見直してください。</t>
    </r>
    <rPh sb="1" eb="3">
      <t>フトワク</t>
    </rPh>
    <rPh sb="3" eb="4">
      <t>ウチ</t>
    </rPh>
    <rPh sb="4" eb="7">
      <t>ニュウリョクジ</t>
    </rPh>
    <rPh sb="8" eb="10">
      <t>チュウイ</t>
    </rPh>
    <rPh sb="10" eb="12">
      <t>ジコウ</t>
    </rPh>
    <rPh sb="15" eb="17">
      <t>コクホ</t>
    </rPh>
    <rPh sb="17" eb="19">
      <t>カニュウ</t>
    </rPh>
    <rPh sb="19" eb="20">
      <t>シャ</t>
    </rPh>
    <rPh sb="21" eb="23">
      <t>カニュウ</t>
    </rPh>
    <rPh sb="23" eb="25">
      <t>ヨテイ</t>
    </rPh>
    <rPh sb="25" eb="26">
      <t>シャ</t>
    </rPh>
    <rPh sb="29" eb="31">
      <t>ナマエ</t>
    </rPh>
    <rPh sb="32" eb="34">
      <t>ニュウリョク</t>
    </rPh>
    <rPh sb="41" eb="43">
      <t>セタイ</t>
    </rPh>
    <rPh sb="43" eb="44">
      <t>ヌシ</t>
    </rPh>
    <rPh sb="45" eb="46">
      <t>カタ</t>
    </rPh>
    <rPh sb="48" eb="50">
      <t>ナマエ</t>
    </rPh>
    <rPh sb="51" eb="52">
      <t>カナラ</t>
    </rPh>
    <rPh sb="53" eb="55">
      <t>ニュウリョク</t>
    </rPh>
    <rPh sb="65" eb="68">
      <t>セタイヌシ</t>
    </rPh>
    <rPh sb="69" eb="70">
      <t>カタ</t>
    </rPh>
    <rPh sb="71" eb="73">
      <t>コクホ</t>
    </rPh>
    <rPh sb="73" eb="75">
      <t>イガイ</t>
    </rPh>
    <rPh sb="76" eb="78">
      <t>シャカイ</t>
    </rPh>
    <rPh sb="78" eb="81">
      <t>ホケントウ</t>
    </rPh>
    <rPh sb="82" eb="84">
      <t>カニュウ</t>
    </rPh>
    <rPh sb="88" eb="90">
      <t>バアイ</t>
    </rPh>
    <rPh sb="93" eb="95">
      <t>ギセイ</t>
    </rPh>
    <rPh sb="95" eb="98">
      <t>セタイヌシ</t>
    </rPh>
    <rPh sb="100" eb="101">
      <t>ラン</t>
    </rPh>
    <rPh sb="104" eb="106">
      <t>ニュウリョク</t>
    </rPh>
    <rPh sb="113" eb="115">
      <t>ギセイ</t>
    </rPh>
    <rPh sb="115" eb="118">
      <t>セタイヌシ</t>
    </rPh>
    <rPh sb="119" eb="120">
      <t>カタ</t>
    </rPh>
    <rPh sb="126" eb="128">
      <t>ニュウリョク</t>
    </rPh>
    <rPh sb="129" eb="131">
      <t>フヨウ</t>
    </rPh>
    <rPh sb="141" eb="142">
      <t>ラン</t>
    </rPh>
    <rPh sb="145" eb="147">
      <t>ニュウリョク</t>
    </rPh>
    <rPh sb="149" eb="151">
      <t>カニュウ</t>
    </rPh>
    <rPh sb="151" eb="153">
      <t>キカン</t>
    </rPh>
    <rPh sb="153" eb="154">
      <t>ナイ</t>
    </rPh>
    <rPh sb="159" eb="161">
      <t>シカク</t>
    </rPh>
    <rPh sb="161" eb="163">
      <t>シュトク</t>
    </rPh>
    <rPh sb="163" eb="164">
      <t>ツキ</t>
    </rPh>
    <rPh sb="166" eb="168">
      <t>ダッタイ</t>
    </rPh>
    <rPh sb="168" eb="170">
      <t>ヨテイ</t>
    </rPh>
    <rPh sb="170" eb="171">
      <t>ツキ</t>
    </rPh>
    <rPh sb="172" eb="174">
      <t>ゼンゲツ</t>
    </rPh>
    <rPh sb="177" eb="179">
      <t>カニュウ</t>
    </rPh>
    <rPh sb="179" eb="181">
      <t>ツキスウ</t>
    </rPh>
    <rPh sb="182" eb="184">
      <t>ニュウリョク</t>
    </rPh>
    <rPh sb="193" eb="194">
      <t>レイ</t>
    </rPh>
    <rPh sb="201" eb="202">
      <t>ネン</t>
    </rPh>
    <rPh sb="203" eb="204">
      <t>ガツ</t>
    </rPh>
    <rPh sb="205" eb="207">
      <t>テンニュウ</t>
    </rPh>
    <rPh sb="213" eb="214">
      <t>ネン</t>
    </rPh>
    <rPh sb="215" eb="216">
      <t>ガツ</t>
    </rPh>
    <rPh sb="216" eb="218">
      <t>イコウ</t>
    </rPh>
    <rPh sb="219" eb="221">
      <t>コクホ</t>
    </rPh>
    <rPh sb="221" eb="223">
      <t>カニュウ</t>
    </rPh>
    <rPh sb="223" eb="225">
      <t>ヨテイ</t>
    </rPh>
    <rPh sb="226" eb="228">
      <t>カニュウ</t>
    </rPh>
    <rPh sb="228" eb="230">
      <t>ツキスウ</t>
    </rPh>
    <rPh sb="251" eb="252">
      <t>レイ</t>
    </rPh>
    <rPh sb="259" eb="260">
      <t>ネン</t>
    </rPh>
    <rPh sb="261" eb="262">
      <t>ガツ</t>
    </rPh>
    <rPh sb="263" eb="265">
      <t>シャカイ</t>
    </rPh>
    <rPh sb="265" eb="267">
      <t>ホケン</t>
    </rPh>
    <rPh sb="269" eb="271">
      <t>コクホ</t>
    </rPh>
    <rPh sb="272" eb="273">
      <t>キ</t>
    </rPh>
    <rPh sb="274" eb="275">
      <t>カ</t>
    </rPh>
    <rPh sb="277" eb="278">
      <t>ノチ</t>
    </rPh>
    <rPh sb="283" eb="284">
      <t>ネン</t>
    </rPh>
    <rPh sb="285" eb="286">
      <t>ガツ</t>
    </rPh>
    <rPh sb="287" eb="289">
      <t>シャカイ</t>
    </rPh>
    <rPh sb="289" eb="291">
      <t>ホケン</t>
    </rPh>
    <rPh sb="292" eb="294">
      <t>サイド</t>
    </rPh>
    <rPh sb="294" eb="296">
      <t>カニュウ</t>
    </rPh>
    <rPh sb="298" eb="300">
      <t>ヨテイ</t>
    </rPh>
    <rPh sb="301" eb="303">
      <t>カニュウ</t>
    </rPh>
    <rPh sb="303" eb="305">
      <t>ツキスウ</t>
    </rPh>
    <rPh sb="326" eb="327">
      <t>レイ</t>
    </rPh>
    <rPh sb="334" eb="335">
      <t>ネン</t>
    </rPh>
    <rPh sb="336" eb="337">
      <t>ガツ</t>
    </rPh>
    <rPh sb="338" eb="340">
      <t>テンニュウ</t>
    </rPh>
    <rPh sb="346" eb="347">
      <t>ネン</t>
    </rPh>
    <rPh sb="349" eb="350">
      <t>ガツ</t>
    </rPh>
    <rPh sb="351" eb="353">
      <t>テンシュツ</t>
    </rPh>
    <rPh sb="355" eb="357">
      <t>ヨテイ</t>
    </rPh>
    <rPh sb="358" eb="360">
      <t>カニュウ</t>
    </rPh>
    <rPh sb="360" eb="362">
      <t>ツキスウ</t>
    </rPh>
    <rPh sb="379" eb="381">
      <t>コクホ</t>
    </rPh>
    <rPh sb="381" eb="383">
      <t>カニュウ</t>
    </rPh>
    <rPh sb="383" eb="384">
      <t>モノ</t>
    </rPh>
    <rPh sb="388" eb="390">
      <t>カニュウ</t>
    </rPh>
    <rPh sb="390" eb="393">
      <t>キカンチュウ</t>
    </rPh>
    <rPh sb="396" eb="397">
      <t>サイ</t>
    </rPh>
    <rPh sb="397" eb="399">
      <t>イジョウ</t>
    </rPh>
    <rPh sb="401" eb="402">
      <t>サイ</t>
    </rPh>
    <rPh sb="402" eb="404">
      <t>ミマン</t>
    </rPh>
    <rPh sb="407" eb="408">
      <t>カタ</t>
    </rPh>
    <rPh sb="416" eb="417">
      <t>サイ</t>
    </rPh>
    <rPh sb="417" eb="420">
      <t>ガイトウシャ</t>
    </rPh>
    <rPh sb="421" eb="422">
      <t>ラン</t>
    </rPh>
    <rPh sb="425" eb="427">
      <t>ニュウリョク</t>
    </rPh>
    <rPh sb="429" eb="431">
      <t>トウガイ</t>
    </rPh>
    <rPh sb="431" eb="433">
      <t>ネンレイ</t>
    </rPh>
    <rPh sb="434" eb="436">
      <t>ガイトウ</t>
    </rPh>
    <rPh sb="438" eb="440">
      <t>ツキスウ</t>
    </rPh>
    <rPh sb="442" eb="444">
      <t>ガイトウ</t>
    </rPh>
    <rPh sb="444" eb="446">
      <t>ツキスウ</t>
    </rPh>
    <rPh sb="448" eb="450">
      <t>ニュウリョク</t>
    </rPh>
    <rPh sb="459" eb="460">
      <t>レイ</t>
    </rPh>
    <rPh sb="463" eb="465">
      <t>カニュウ</t>
    </rPh>
    <rPh sb="465" eb="468">
      <t>キカンチュウ</t>
    </rPh>
    <rPh sb="471" eb="472">
      <t>サイ</t>
    </rPh>
    <rPh sb="476" eb="477">
      <t>サイ</t>
    </rPh>
    <rPh sb="478" eb="480">
      <t>ガイトウ</t>
    </rPh>
    <rPh sb="485" eb="487">
      <t>ガイトウ</t>
    </rPh>
    <rPh sb="487" eb="489">
      <t>ツキスウ</t>
    </rPh>
    <rPh sb="510" eb="511">
      <t>レイ</t>
    </rPh>
    <rPh sb="518" eb="519">
      <t>ネン</t>
    </rPh>
    <rPh sb="520" eb="521">
      <t>ガツ</t>
    </rPh>
    <rPh sb="524" eb="525">
      <t>サイ</t>
    </rPh>
    <rPh sb="526" eb="529">
      <t>タンジョウビ</t>
    </rPh>
    <rPh sb="530" eb="531">
      <t>ムカ</t>
    </rPh>
    <rPh sb="534" eb="536">
      <t>ガイトウ</t>
    </rPh>
    <rPh sb="536" eb="538">
      <t>ツキスウ</t>
    </rPh>
    <rPh sb="559" eb="560">
      <t>レイ</t>
    </rPh>
    <rPh sb="567" eb="568">
      <t>ネン</t>
    </rPh>
    <rPh sb="569" eb="570">
      <t>ガツ</t>
    </rPh>
    <rPh sb="573" eb="574">
      <t>サイ</t>
    </rPh>
    <rPh sb="575" eb="578">
      <t>タンジョウビ</t>
    </rPh>
    <rPh sb="579" eb="580">
      <t>ムカ</t>
    </rPh>
    <rPh sb="583" eb="585">
      <t>ガイトウ</t>
    </rPh>
    <rPh sb="585" eb="587">
      <t>ツキスウ</t>
    </rPh>
    <rPh sb="604" eb="606">
      <t>コクホ</t>
    </rPh>
    <rPh sb="606" eb="609">
      <t>カニュウシャ</t>
    </rPh>
    <rPh sb="616" eb="617">
      <t>サイ</t>
    </rPh>
    <rPh sb="618" eb="619">
      <t>タッ</t>
    </rPh>
    <rPh sb="621" eb="622">
      <t>ヒ</t>
    </rPh>
    <rPh sb="622" eb="624">
      <t>イゴ</t>
    </rPh>
    <rPh sb="625" eb="627">
      <t>サイショ</t>
    </rPh>
    <rPh sb="629" eb="630">
      <t>ガツ</t>
    </rPh>
    <rPh sb="632" eb="633">
      <t>ニチ</t>
    </rPh>
    <rPh sb="638" eb="639">
      <t>カタ</t>
    </rPh>
    <rPh sb="644" eb="645">
      <t>サイ</t>
    </rPh>
    <rPh sb="645" eb="647">
      <t>ミマン</t>
    </rPh>
    <rPh sb="647" eb="650">
      <t>ガイトウシャ</t>
    </rPh>
    <rPh sb="651" eb="652">
      <t>ラン</t>
    </rPh>
    <rPh sb="655" eb="657">
      <t>ニュウリョク</t>
    </rPh>
    <rPh sb="667" eb="668">
      <t>カク</t>
    </rPh>
    <rPh sb="668" eb="671">
      <t>カニュウシャ</t>
    </rPh>
    <rPh sb="676" eb="678">
      <t>ネンチュウ</t>
    </rPh>
    <rPh sb="679" eb="681">
      <t>ショトク</t>
    </rPh>
    <rPh sb="681" eb="683">
      <t>キンガク</t>
    </rPh>
    <rPh sb="684" eb="686">
      <t>ニュウリョク</t>
    </rPh>
    <rPh sb="693" eb="695">
      <t>レイワ</t>
    </rPh>
    <rPh sb="696" eb="697">
      <t>ネン</t>
    </rPh>
    <rPh sb="697" eb="698">
      <t>ブン</t>
    </rPh>
    <rPh sb="698" eb="700">
      <t>ゲンセン</t>
    </rPh>
    <rPh sb="700" eb="702">
      <t>チョウシュウ</t>
    </rPh>
    <rPh sb="702" eb="703">
      <t>ヒョウ</t>
    </rPh>
    <rPh sb="705" eb="707">
      <t>キュウヨ</t>
    </rPh>
    <rPh sb="708" eb="710">
      <t>ネンキン</t>
    </rPh>
    <rPh sb="711" eb="713">
      <t>ショトク</t>
    </rPh>
    <rPh sb="713" eb="715">
      <t>コウジョ</t>
    </rPh>
    <rPh sb="715" eb="716">
      <t>ゴ</t>
    </rPh>
    <rPh sb="717" eb="719">
      <t>キンガク</t>
    </rPh>
    <rPh sb="723" eb="725">
      <t>ジギョウ</t>
    </rPh>
    <rPh sb="725" eb="727">
      <t>シュウニュウ</t>
    </rPh>
    <rPh sb="729" eb="731">
      <t>ヒツヨウ</t>
    </rPh>
    <rPh sb="731" eb="733">
      <t>ケイヒ</t>
    </rPh>
    <rPh sb="734" eb="735">
      <t>サ</t>
    </rPh>
    <rPh sb="736" eb="737">
      <t>ヒ</t>
    </rPh>
    <rPh sb="739" eb="741">
      <t>キンガク</t>
    </rPh>
    <rPh sb="750" eb="752">
      <t>シュウニュウ</t>
    </rPh>
    <rPh sb="753" eb="755">
      <t>シハライ</t>
    </rPh>
    <rPh sb="763" eb="764">
      <t>カタ</t>
    </rPh>
    <rPh sb="767" eb="769">
      <t>キュウヨ</t>
    </rPh>
    <rPh sb="769" eb="771">
      <t>ショトク</t>
    </rPh>
    <rPh sb="771" eb="773">
      <t>ソクサン</t>
    </rPh>
    <rPh sb="773" eb="774">
      <t>ヒョウ</t>
    </rPh>
    <rPh sb="777" eb="779">
      <t>ネンキン</t>
    </rPh>
    <rPh sb="779" eb="781">
      <t>ショトク</t>
    </rPh>
    <rPh sb="781" eb="783">
      <t>ソクサン</t>
    </rPh>
    <rPh sb="783" eb="784">
      <t>ヒョウ</t>
    </rPh>
    <rPh sb="787" eb="789">
      <t>カツヨウ</t>
    </rPh>
    <rPh sb="796" eb="797">
      <t>クワ</t>
    </rPh>
    <rPh sb="801" eb="804">
      <t>コクゼイチョウ</t>
    </rPh>
    <rPh sb="813" eb="815">
      <t>カクニン</t>
    </rPh>
    <rPh sb="827" eb="828">
      <t>ネン</t>
    </rPh>
    <rPh sb="828" eb="829">
      <t>チュウ</t>
    </rPh>
    <rPh sb="830" eb="831">
      <t>エ</t>
    </rPh>
    <rPh sb="834" eb="836">
      <t>ショトク</t>
    </rPh>
    <rPh sb="840" eb="842">
      <t>ネンキン</t>
    </rPh>
    <rPh sb="842" eb="844">
      <t>ショトク</t>
    </rPh>
    <rPh sb="847" eb="849">
      <t>ショウワ</t>
    </rPh>
    <rPh sb="851" eb="852">
      <t>ネン</t>
    </rPh>
    <rPh sb="853" eb="854">
      <t>ガツ</t>
    </rPh>
    <rPh sb="855" eb="856">
      <t>ニチ</t>
    </rPh>
    <rPh sb="856" eb="858">
      <t>イゼン</t>
    </rPh>
    <rPh sb="858" eb="859">
      <t>ウ</t>
    </rPh>
    <rPh sb="862" eb="863">
      <t>カタ</t>
    </rPh>
    <rPh sb="866" eb="868">
      <t>ネンキン</t>
    </rPh>
    <rPh sb="869" eb="870">
      <t>ラン</t>
    </rPh>
    <rPh sb="873" eb="875">
      <t>ニュウリョク</t>
    </rPh>
    <rPh sb="886" eb="888">
      <t>ショトク</t>
    </rPh>
    <rPh sb="892" eb="894">
      <t>キュウヨ</t>
    </rPh>
    <rPh sb="894" eb="896">
      <t>ショトク</t>
    </rPh>
    <rPh sb="899" eb="900">
      <t>カタ</t>
    </rPh>
    <rPh sb="903" eb="905">
      <t>ニュウリョク</t>
    </rPh>
    <rPh sb="915" eb="917">
      <t>コクホ</t>
    </rPh>
    <rPh sb="917" eb="920">
      <t>カニュウシャ</t>
    </rPh>
    <rPh sb="924" eb="928">
      <t>ミシュウガクジ</t>
    </rPh>
    <rPh sb="929" eb="931">
      <t>レイワ</t>
    </rPh>
    <rPh sb="932" eb="933">
      <t>ネン</t>
    </rPh>
    <rPh sb="934" eb="935">
      <t>ガツ</t>
    </rPh>
    <rPh sb="936" eb="937">
      <t>ニチ</t>
    </rPh>
    <rPh sb="937" eb="939">
      <t>イコウ</t>
    </rPh>
    <rPh sb="940" eb="942">
      <t>シュッショウ</t>
    </rPh>
    <rPh sb="945" eb="946">
      <t>カタ</t>
    </rPh>
    <rPh sb="950" eb="952">
      <t>バアイ</t>
    </rPh>
    <rPh sb="955" eb="957">
      <t>ニュウリョク</t>
    </rPh>
    <rPh sb="974" eb="975">
      <t>ラン</t>
    </rPh>
    <rPh sb="984" eb="986">
      <t>バアイ</t>
    </rPh>
    <rPh sb="989" eb="990">
      <t>ラン</t>
    </rPh>
    <rPh sb="992" eb="993">
      <t>ラン</t>
    </rPh>
    <rPh sb="994" eb="996">
      <t>ミナオ</t>
    </rPh>
    <phoneticPr fontId="2"/>
  </si>
  <si>
    <t>1,300,000円未満</t>
    <rPh sb="9" eb="10">
      <t>エン</t>
    </rPh>
    <rPh sb="10" eb="12">
      <t>ミマン</t>
    </rPh>
    <phoneticPr fontId="2"/>
  </si>
  <si>
    <t>1,300,000円以上</t>
    <rPh sb="9" eb="10">
      <t>エン</t>
    </rPh>
    <rPh sb="10" eb="12">
      <t>イジョウ</t>
    </rPh>
    <phoneticPr fontId="2"/>
  </si>
  <si>
    <t>4,100,000円未満</t>
    <rPh sb="9" eb="10">
      <t>エン</t>
    </rPh>
    <rPh sb="10" eb="12">
      <t>ミマン</t>
    </rPh>
    <phoneticPr fontId="2"/>
  </si>
  <si>
    <t>4,100,000円以上</t>
    <rPh sb="9" eb="10">
      <t>エン</t>
    </rPh>
    <rPh sb="10" eb="12">
      <t>イジョウ</t>
    </rPh>
    <phoneticPr fontId="2"/>
  </si>
  <si>
    <t>7,700,000円未満</t>
    <rPh sb="9" eb="10">
      <t>エン</t>
    </rPh>
    <rPh sb="10" eb="12">
      <t>ミマン</t>
    </rPh>
    <phoneticPr fontId="2"/>
  </si>
  <si>
    <t>7,700,000円以上</t>
    <rPh sb="9" eb="10">
      <t>エン</t>
    </rPh>
    <rPh sb="10" eb="12">
      <t>イジョウ</t>
    </rPh>
    <phoneticPr fontId="2"/>
  </si>
  <si>
    <t>10,000,000円未満</t>
    <rPh sb="2" eb="11">
      <t>００００００エン</t>
    </rPh>
    <rPh sb="11" eb="13">
      <t>ミマン</t>
    </rPh>
    <phoneticPr fontId="2"/>
  </si>
  <si>
    <t>10,000,000円以上</t>
    <rPh sb="2" eb="11">
      <t>００００００エン</t>
    </rPh>
    <rPh sb="11" eb="13">
      <t>イジョウ</t>
    </rPh>
    <phoneticPr fontId="2"/>
  </si>
  <si>
    <t>3,300,000円未満</t>
    <rPh sb="9" eb="10">
      <t>エン</t>
    </rPh>
    <rPh sb="10" eb="12">
      <t>ミマン</t>
    </rPh>
    <phoneticPr fontId="2"/>
  </si>
  <si>
    <t>3,300,000円以上</t>
    <rPh sb="9" eb="10">
      <t>エン</t>
    </rPh>
    <rPh sb="10" eb="12">
      <t>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</si>
</sst>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48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3"/>
      <color rgb="FFFF0000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22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36"/>
      <color rgb="FFFF0000"/>
      <name val="ＭＳ Ｐゴシック"/>
      <family val="3"/>
      <charset val="128"/>
      <scheme val="minor"/>
    </font>
    <font>
      <b/>
      <sz val="24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2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2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  <font>
      <sz val="72"/>
      <color theme="1"/>
      <name val="ＭＳ Ｐゴシック"/>
      <family val="3"/>
      <charset val="128"/>
      <scheme val="minor"/>
    </font>
    <font>
      <sz val="3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b/>
      <sz val="24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2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b/>
      <sz val="10"/>
      <color indexed="8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4A6DE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81EF9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1"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 style="medium">
        <color rgb="FFFF0000"/>
      </diagonal>
    </border>
    <border>
      <left style="medium">
        <color rgb="FFFF0000"/>
      </left>
      <right style="thin">
        <color theme="1"/>
      </right>
      <top style="medium">
        <color rgb="FFFF0000"/>
      </top>
      <bottom/>
      <diagonal/>
    </border>
    <border>
      <left style="medium">
        <color rgb="FFFF0000"/>
      </left>
      <right style="thin">
        <color theme="1"/>
      </right>
      <top/>
      <bottom/>
      <diagonal/>
    </border>
    <border>
      <left style="medium">
        <color rgb="FFFF0000"/>
      </left>
      <right style="thin">
        <color theme="1"/>
      </right>
      <top/>
      <bottom style="medium">
        <color rgb="FFFF0000"/>
      </bottom>
      <diagonal/>
    </border>
    <border>
      <left style="medium">
        <color rgb="FFFF0000"/>
      </left>
      <right style="thin">
        <color theme="1"/>
      </right>
      <top style="medium">
        <color rgb="FFFF0000"/>
      </top>
      <bottom style="medium">
        <color rgb="FFFF0000"/>
      </bottom>
      <diagonal/>
    </border>
    <border>
      <left style="thin">
        <color theme="1"/>
      </left>
      <right style="thin">
        <color theme="1"/>
      </right>
      <top style="medium">
        <color rgb="FFFF0000"/>
      </top>
      <bottom style="medium">
        <color rgb="FFFF0000"/>
      </bottom>
      <diagonal/>
    </border>
    <border>
      <left style="thin">
        <color theme="1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theme="1"/>
      </left>
      <right style="thin">
        <color theme="1"/>
      </right>
      <top style="medium">
        <color rgb="FFFF0000"/>
      </top>
      <bottom/>
      <diagonal style="thin">
        <color theme="1"/>
      </diagonal>
    </border>
    <border diagonalUp="1">
      <left style="thin">
        <color theme="1"/>
      </left>
      <right style="thin">
        <color theme="1"/>
      </right>
      <top style="medium">
        <color rgb="FFFF0000"/>
      </top>
      <bottom style="thin">
        <color indexed="64"/>
      </bottom>
      <diagonal style="thin">
        <color theme="1"/>
      </diagonal>
    </border>
    <border diagonalUp="1">
      <left style="thin">
        <color theme="1"/>
      </left>
      <right style="medium">
        <color rgb="FFFF0000"/>
      </right>
      <top style="medium">
        <color rgb="FFFF0000"/>
      </top>
      <bottom style="thin">
        <color indexed="64"/>
      </bottom>
      <diagonal style="thin">
        <color theme="1"/>
      </diagonal>
    </border>
    <border diagonalUp="1">
      <left style="thin">
        <color theme="1"/>
      </left>
      <right style="thin">
        <color theme="1"/>
      </right>
      <top/>
      <bottom/>
      <diagonal style="thin">
        <color theme="1"/>
      </diagonal>
    </border>
    <border diagonalUp="1"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 style="thin">
        <color theme="1"/>
      </diagonal>
    </border>
    <border diagonalUp="1">
      <left style="thin">
        <color theme="1"/>
      </left>
      <right style="medium">
        <color rgb="FFFF0000"/>
      </right>
      <top style="thin">
        <color indexed="64"/>
      </top>
      <bottom style="thin">
        <color indexed="64"/>
      </bottom>
      <diagonal style="thin">
        <color theme="1"/>
      </diagonal>
    </border>
    <border diagonalUp="1">
      <left style="thin">
        <color theme="1"/>
      </left>
      <right style="thin">
        <color theme="1"/>
      </right>
      <top/>
      <bottom style="medium">
        <color rgb="FFFF0000"/>
      </bottom>
      <diagonal style="thin">
        <color theme="1"/>
      </diagonal>
    </border>
    <border diagonalUp="1">
      <left style="thin">
        <color theme="1"/>
      </left>
      <right style="thin">
        <color theme="1"/>
      </right>
      <top style="thin">
        <color indexed="64"/>
      </top>
      <bottom style="medium">
        <color rgb="FFFF0000"/>
      </bottom>
      <diagonal style="thin">
        <color theme="1"/>
      </diagonal>
    </border>
    <border diagonalUp="1">
      <left style="thin">
        <color theme="1"/>
      </left>
      <right style="medium">
        <color rgb="FFFF0000"/>
      </right>
      <top style="thin">
        <color indexed="64"/>
      </top>
      <bottom style="medium">
        <color rgb="FFFF0000"/>
      </bottom>
      <diagonal style="thin">
        <color theme="1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7">
    <xf numFmtId="0" fontId="0" fillId="0" borderId="0" xfId="0">
      <alignment vertical="center"/>
    </xf>
    <xf numFmtId="38" fontId="4" fillId="0" borderId="0" xfId="1" applyFont="1">
      <alignment vertical="center"/>
    </xf>
    <xf numFmtId="38" fontId="4" fillId="0" borderId="0" xfId="1" applyFont="1" applyBorder="1">
      <alignment vertical="center"/>
    </xf>
    <xf numFmtId="38" fontId="4" fillId="0" borderId="4" xfId="1" applyFont="1" applyBorder="1" applyAlignment="1">
      <alignment horizontal="center" vertical="center"/>
    </xf>
    <xf numFmtId="38" fontId="5" fillId="0" borderId="0" xfId="1" applyFont="1">
      <alignment vertical="center"/>
    </xf>
    <xf numFmtId="38" fontId="4" fillId="0" borderId="0" xfId="1" applyFont="1" applyFill="1">
      <alignment vertical="center"/>
    </xf>
    <xf numFmtId="38" fontId="4" fillId="0" borderId="11" xfId="1" applyFont="1" applyBorder="1">
      <alignment vertical="center"/>
    </xf>
    <xf numFmtId="38" fontId="12" fillId="0" borderId="0" xfId="1" applyFont="1">
      <alignment vertical="center"/>
    </xf>
    <xf numFmtId="38" fontId="12" fillId="0" borderId="0" xfId="1" applyFont="1" applyBorder="1">
      <alignment vertical="center"/>
    </xf>
    <xf numFmtId="38" fontId="4" fillId="0" borderId="0" xfId="1" applyFont="1" applyBorder="1" applyAlignment="1">
      <alignment horizontal="center" vertical="center"/>
    </xf>
    <xf numFmtId="38" fontId="10" fillId="0" borderId="0" xfId="1" applyFont="1" applyFill="1" applyBorder="1" applyAlignment="1">
      <alignment horizontal="center" vertical="center"/>
    </xf>
    <xf numFmtId="38" fontId="11" fillId="0" borderId="0" xfId="1" applyFont="1" applyFill="1" applyBorder="1" applyAlignment="1">
      <alignment horizontal="center" vertical="center"/>
    </xf>
    <xf numFmtId="38" fontId="9" fillId="0" borderId="0" xfId="1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horizontal="center" vertical="center"/>
    </xf>
    <xf numFmtId="38" fontId="4" fillId="6" borderId="1" xfId="1" applyFont="1" applyFill="1" applyBorder="1" applyAlignment="1">
      <alignment horizontal="center" vertical="center"/>
    </xf>
    <xf numFmtId="38" fontId="4" fillId="0" borderId="6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15" fillId="0" borderId="0" xfId="1" applyFont="1" applyBorder="1" applyAlignment="1">
      <alignment vertical="center"/>
    </xf>
    <xf numFmtId="38" fontId="24" fillId="0" borderId="0" xfId="1" applyFont="1">
      <alignment vertical="center"/>
    </xf>
    <xf numFmtId="38" fontId="25" fillId="0" borderId="0" xfId="1" applyFont="1">
      <alignment vertical="center"/>
    </xf>
    <xf numFmtId="38" fontId="25" fillId="0" borderId="0" xfId="1" applyFont="1" applyAlignment="1">
      <alignment vertical="center"/>
    </xf>
    <xf numFmtId="38" fontId="25" fillId="0" borderId="0" xfId="1" applyFont="1" applyBorder="1" applyAlignment="1">
      <alignment vertical="center"/>
    </xf>
    <xf numFmtId="38" fontId="25" fillId="0" borderId="0" xfId="1" applyFont="1" applyBorder="1">
      <alignment vertical="center"/>
    </xf>
    <xf numFmtId="0" fontId="27" fillId="0" borderId="0" xfId="0" applyFont="1">
      <alignment vertical="center"/>
    </xf>
    <xf numFmtId="38" fontId="8" fillId="0" borderId="0" xfId="1" applyFont="1" applyBorder="1" applyAlignment="1">
      <alignment vertical="center"/>
    </xf>
    <xf numFmtId="38" fontId="12" fillId="5" borderId="1" xfId="1" applyFont="1" applyFill="1" applyBorder="1" applyAlignment="1">
      <alignment horizontal="center" vertical="center"/>
    </xf>
    <xf numFmtId="38" fontId="24" fillId="0" borderId="0" xfId="1" applyFont="1" applyBorder="1" applyAlignment="1">
      <alignment horizontal="center" vertical="center"/>
    </xf>
    <xf numFmtId="38" fontId="25" fillId="0" borderId="0" xfId="1" applyFont="1" applyBorder="1" applyAlignment="1">
      <alignment horizontal="center" vertical="center"/>
    </xf>
    <xf numFmtId="38" fontId="12" fillId="2" borderId="1" xfId="1" applyFont="1" applyFill="1" applyBorder="1" applyAlignment="1">
      <alignment horizontal="center" vertical="center"/>
    </xf>
    <xf numFmtId="38" fontId="12" fillId="4" borderId="1" xfId="1" applyFont="1" applyFill="1" applyBorder="1" applyAlignment="1">
      <alignment horizontal="center" vertical="center"/>
    </xf>
    <xf numFmtId="38" fontId="14" fillId="0" borderId="0" xfId="1" applyFont="1" applyBorder="1" applyAlignment="1">
      <alignment horizontal="center" vertical="center"/>
    </xf>
    <xf numFmtId="38" fontId="14" fillId="0" borderId="0" xfId="1" applyFont="1">
      <alignment vertical="center"/>
    </xf>
    <xf numFmtId="38" fontId="10" fillId="0" borderId="0" xfId="1" applyFont="1" applyBorder="1" applyAlignment="1">
      <alignment horizontal="center" vertical="center"/>
    </xf>
    <xf numFmtId="38" fontId="23" fillId="2" borderId="0" xfId="1" applyFont="1" applyFill="1" applyBorder="1" applyAlignment="1">
      <alignment horizontal="center" vertical="center"/>
    </xf>
    <xf numFmtId="38" fontId="23" fillId="4" borderId="0" xfId="1" applyFont="1" applyFill="1" applyBorder="1" applyAlignment="1">
      <alignment horizontal="center" vertical="center"/>
    </xf>
    <xf numFmtId="38" fontId="23" fillId="5" borderId="0" xfId="1" applyFont="1" applyFill="1" applyBorder="1" applyAlignment="1">
      <alignment horizontal="center" vertical="center"/>
    </xf>
    <xf numFmtId="38" fontId="22" fillId="6" borderId="1" xfId="1" applyFont="1" applyFill="1" applyBorder="1" applyAlignment="1">
      <alignment horizontal="center" vertical="center"/>
    </xf>
    <xf numFmtId="38" fontId="30" fillId="0" borderId="0" xfId="1" applyFont="1" applyBorder="1" applyAlignment="1">
      <alignment vertical="top"/>
    </xf>
    <xf numFmtId="38" fontId="39" fillId="0" borderId="0" xfId="1" applyFont="1" applyBorder="1" applyAlignment="1">
      <alignment vertical="center"/>
    </xf>
    <xf numFmtId="38" fontId="30" fillId="0" borderId="0" xfId="1" applyFont="1" applyBorder="1" applyAlignment="1">
      <alignment vertical="top" wrapText="1"/>
    </xf>
    <xf numFmtId="38" fontId="40" fillId="0" borderId="0" xfId="1" applyFont="1" applyAlignment="1">
      <alignment horizontal="center" vertical="center"/>
    </xf>
    <xf numFmtId="38" fontId="39" fillId="0" borderId="0" xfId="1" applyFont="1">
      <alignment vertical="center"/>
    </xf>
    <xf numFmtId="38" fontId="25" fillId="0" borderId="1" xfId="1" applyFont="1" applyBorder="1" applyAlignment="1">
      <alignment vertical="center"/>
    </xf>
    <xf numFmtId="38" fontId="25" fillId="0" borderId="1" xfId="1" applyFont="1" applyBorder="1" applyAlignment="1">
      <alignment horizontal="center" vertical="center"/>
    </xf>
    <xf numFmtId="38" fontId="25" fillId="6" borderId="1" xfId="1" applyFont="1" applyFill="1" applyBorder="1" applyAlignment="1">
      <alignment horizontal="center" vertical="center"/>
    </xf>
    <xf numFmtId="38" fontId="25" fillId="2" borderId="1" xfId="1" applyFont="1" applyFill="1" applyBorder="1" applyAlignment="1">
      <alignment horizontal="center" vertical="center"/>
    </xf>
    <xf numFmtId="38" fontId="25" fillId="6" borderId="1" xfId="1" applyFont="1" applyFill="1" applyBorder="1">
      <alignment vertical="center"/>
    </xf>
    <xf numFmtId="38" fontId="25" fillId="4" borderId="1" xfId="1" applyFont="1" applyFill="1" applyBorder="1" applyAlignment="1">
      <alignment horizontal="center" vertical="center"/>
    </xf>
    <xf numFmtId="38" fontId="25" fillId="5" borderId="1" xfId="1" applyFont="1" applyFill="1" applyBorder="1" applyAlignment="1">
      <alignment horizontal="center" vertical="center"/>
    </xf>
    <xf numFmtId="38" fontId="13" fillId="0" borderId="0" xfId="1" applyFont="1" applyBorder="1" applyAlignment="1">
      <alignment vertical="center"/>
    </xf>
    <xf numFmtId="38" fontId="30" fillId="0" borderId="0" xfId="1" applyFont="1">
      <alignment vertical="center"/>
    </xf>
    <xf numFmtId="0" fontId="50" fillId="0" borderId="0" xfId="0" applyFont="1" applyAlignment="1">
      <alignment horizontal="center" vertical="center"/>
    </xf>
    <xf numFmtId="38" fontId="50" fillId="0" borderId="0" xfId="1" applyFont="1" applyAlignment="1">
      <alignment horizontal="center" vertical="center"/>
    </xf>
    <xf numFmtId="38" fontId="0" fillId="0" borderId="0" xfId="1" applyFont="1">
      <alignment vertical="center"/>
    </xf>
    <xf numFmtId="38" fontId="23" fillId="0" borderId="0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38" fontId="32" fillId="0" borderId="4" xfId="1" applyFont="1" applyFill="1" applyBorder="1" applyAlignment="1">
      <alignment horizontal="center" vertical="center"/>
    </xf>
    <xf numFmtId="38" fontId="12" fillId="0" borderId="18" xfId="1" applyFont="1" applyBorder="1" applyAlignment="1" applyProtection="1">
      <alignment horizontal="center" vertical="center"/>
      <protection locked="0"/>
    </xf>
    <xf numFmtId="38" fontId="12" fillId="0" borderId="19" xfId="1" applyFont="1" applyFill="1" applyBorder="1" applyAlignment="1" applyProtection="1">
      <alignment horizontal="center" vertical="center" wrapText="1"/>
      <protection locked="0"/>
    </xf>
    <xf numFmtId="38" fontId="12" fillId="0" borderId="19" xfId="1" applyFont="1" applyBorder="1" applyAlignment="1" applyProtection="1">
      <alignment horizontal="center" vertical="center"/>
      <protection locked="0"/>
    </xf>
    <xf numFmtId="38" fontId="12" fillId="6" borderId="20" xfId="1" applyFont="1" applyFill="1" applyBorder="1" applyAlignment="1" applyProtection="1">
      <alignment horizontal="center" vertical="center"/>
      <protection locked="0"/>
    </xf>
    <xf numFmtId="38" fontId="4" fillId="0" borderId="5" xfId="1" applyFont="1" applyBorder="1" applyAlignment="1">
      <alignment horizontal="center" vertical="center"/>
    </xf>
    <xf numFmtId="38" fontId="12" fillId="0" borderId="57" xfId="1" applyFont="1" applyBorder="1" applyAlignment="1" applyProtection="1">
      <alignment horizontal="center" vertical="center"/>
      <protection locked="0"/>
    </xf>
    <xf numFmtId="38" fontId="12" fillId="0" borderId="0" xfId="1" applyFont="1" applyFill="1" applyBorder="1" applyAlignment="1">
      <alignment horizontal="center" vertical="center"/>
    </xf>
    <xf numFmtId="38" fontId="28" fillId="0" borderId="0" xfId="1" applyFont="1" applyFill="1" applyBorder="1" applyAlignment="1">
      <alignment horizontal="center" vertical="center"/>
    </xf>
    <xf numFmtId="38" fontId="25" fillId="0" borderId="1" xfId="1" applyFont="1" applyFill="1" applyBorder="1">
      <alignment vertical="center"/>
    </xf>
    <xf numFmtId="38" fontId="25" fillId="14" borderId="1" xfId="1" applyFont="1" applyFill="1" applyBorder="1">
      <alignment vertical="center"/>
    </xf>
    <xf numFmtId="0" fontId="54" fillId="0" borderId="0" xfId="0" applyFont="1">
      <alignment vertical="center"/>
    </xf>
    <xf numFmtId="38" fontId="6" fillId="0" borderId="0" xfId="1" applyFont="1" applyBorder="1" applyAlignment="1">
      <alignment horizontal="left" vertical="top" wrapText="1"/>
    </xf>
    <xf numFmtId="38" fontId="4" fillId="0" borderId="36" xfId="1" applyFont="1" applyBorder="1" applyAlignment="1">
      <alignment horizontal="center" vertical="center"/>
    </xf>
    <xf numFmtId="38" fontId="30" fillId="0" borderId="0" xfId="1" applyFont="1" applyBorder="1" applyAlignment="1">
      <alignment horizontal="left" vertical="top" wrapText="1"/>
    </xf>
    <xf numFmtId="38" fontId="12" fillId="13" borderId="1" xfId="1" applyFont="1" applyFill="1" applyBorder="1" applyAlignment="1">
      <alignment horizontal="center" vertical="center"/>
    </xf>
    <xf numFmtId="38" fontId="4" fillId="13" borderId="1" xfId="1" applyFont="1" applyFill="1" applyBorder="1" applyAlignment="1">
      <alignment horizontal="center" vertical="center"/>
    </xf>
    <xf numFmtId="38" fontId="25" fillId="13" borderId="1" xfId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38" fontId="4" fillId="0" borderId="5" xfId="1" applyFont="1" applyBorder="1">
      <alignment vertical="center"/>
    </xf>
    <xf numFmtId="38" fontId="23" fillId="13" borderId="0" xfId="1" applyFont="1" applyFill="1" applyBorder="1" applyAlignment="1">
      <alignment horizontal="center" vertical="center"/>
    </xf>
    <xf numFmtId="38" fontId="6" fillId="0" borderId="0" xfId="1" applyFont="1" applyBorder="1" applyAlignment="1">
      <alignment vertical="top" wrapText="1"/>
    </xf>
    <xf numFmtId="38" fontId="12" fillId="13" borderId="19" xfId="1" applyFont="1" applyFill="1" applyBorder="1" applyAlignment="1" applyProtection="1">
      <alignment vertical="center" wrapText="1"/>
      <protection locked="0"/>
    </xf>
    <xf numFmtId="0" fontId="0" fillId="0" borderId="12" xfId="0" applyBorder="1" applyAlignment="1">
      <alignment horizontal="left" vertical="center"/>
    </xf>
    <xf numFmtId="0" fontId="0" fillId="0" borderId="29" xfId="0" applyBorder="1" applyAlignment="1">
      <alignment horizontal="right" vertical="center"/>
    </xf>
    <xf numFmtId="38" fontId="4" fillId="0" borderId="0" xfId="1" applyFont="1" applyFill="1" applyBorder="1" applyAlignment="1">
      <alignment vertical="center"/>
    </xf>
    <xf numFmtId="38" fontId="4" fillId="13" borderId="0" xfId="1" applyFont="1" applyFill="1" applyBorder="1" applyAlignment="1">
      <alignment horizontal="center" vertical="center" wrapText="1"/>
    </xf>
    <xf numFmtId="38" fontId="12" fillId="0" borderId="78" xfId="1" applyFont="1" applyFill="1" applyBorder="1" applyAlignment="1">
      <alignment horizontal="center" vertical="center"/>
    </xf>
    <xf numFmtId="0" fontId="58" fillId="0" borderId="0" xfId="0" applyFont="1">
      <alignment vertical="center"/>
    </xf>
    <xf numFmtId="38" fontId="12" fillId="0" borderId="28" xfId="1" applyFont="1" applyFill="1" applyBorder="1" applyAlignment="1">
      <alignment horizontal="center" vertical="center" wrapText="1"/>
    </xf>
    <xf numFmtId="38" fontId="22" fillId="0" borderId="0" xfId="1" applyFont="1" applyBorder="1" applyAlignment="1">
      <alignment horizontal="center" vertical="center"/>
    </xf>
    <xf numFmtId="38" fontId="30" fillId="0" borderId="1" xfId="1" applyFont="1" applyBorder="1" applyAlignment="1">
      <alignment horizontal="center" vertical="top" wrapText="1"/>
    </xf>
    <xf numFmtId="38" fontId="11" fillId="17" borderId="1" xfId="1" applyFont="1" applyFill="1" applyBorder="1" applyAlignment="1">
      <alignment horizontal="center" vertical="center"/>
    </xf>
    <xf numFmtId="38" fontId="11" fillId="18" borderId="1" xfId="1" applyFont="1" applyFill="1" applyBorder="1" applyAlignment="1">
      <alignment horizontal="center" vertical="center"/>
    </xf>
    <xf numFmtId="38" fontId="35" fillId="8" borderId="1" xfId="1" applyFont="1" applyFill="1" applyBorder="1" applyAlignment="1">
      <alignment horizontal="center" vertical="center"/>
    </xf>
    <xf numFmtId="38" fontId="33" fillId="9" borderId="1" xfId="1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10" fontId="34" fillId="7" borderId="1" xfId="1" applyNumberFormat="1" applyFont="1" applyFill="1" applyBorder="1" applyAlignment="1">
      <alignment horizontal="center" vertical="center"/>
    </xf>
    <xf numFmtId="38" fontId="34" fillId="8" borderId="1" xfId="1" applyFont="1" applyFill="1" applyBorder="1" applyAlignment="1">
      <alignment horizontal="center" vertical="center"/>
    </xf>
    <xf numFmtId="38" fontId="34" fillId="9" borderId="76" xfId="1" applyFont="1" applyFill="1" applyBorder="1" applyAlignment="1">
      <alignment horizontal="center" vertical="center"/>
    </xf>
    <xf numFmtId="38" fontId="51" fillId="0" borderId="1" xfId="1" applyFont="1" applyBorder="1" applyAlignment="1">
      <alignment horizontal="center" vertical="center"/>
    </xf>
    <xf numFmtId="38" fontId="11" fillId="13" borderId="1" xfId="1" applyFont="1" applyFill="1" applyBorder="1" applyAlignment="1">
      <alignment horizontal="center" vertical="center" wrapText="1"/>
    </xf>
    <xf numFmtId="38" fontId="23" fillId="13" borderId="1" xfId="1" applyFont="1" applyFill="1" applyBorder="1" applyAlignment="1">
      <alignment horizontal="center" vertical="center"/>
    </xf>
    <xf numFmtId="38" fontId="23" fillId="13" borderId="2" xfId="1" applyFont="1" applyFill="1" applyBorder="1" applyAlignment="1">
      <alignment horizontal="center" vertical="center"/>
    </xf>
    <xf numFmtId="38" fontId="23" fillId="13" borderId="3" xfId="1" applyFont="1" applyFill="1" applyBorder="1" applyAlignment="1">
      <alignment horizontal="center" vertical="center"/>
    </xf>
    <xf numFmtId="38" fontId="23" fillId="13" borderId="4" xfId="1" applyFont="1" applyFill="1" applyBorder="1" applyAlignment="1">
      <alignment horizontal="center" vertical="center"/>
    </xf>
    <xf numFmtId="38" fontId="23" fillId="13" borderId="5" xfId="1" applyFont="1" applyFill="1" applyBorder="1" applyAlignment="1">
      <alignment horizontal="center" vertical="center"/>
    </xf>
    <xf numFmtId="38" fontId="23" fillId="13" borderId="16" xfId="1" applyFont="1" applyFill="1" applyBorder="1" applyAlignment="1">
      <alignment horizontal="center" vertical="center"/>
    </xf>
    <xf numFmtId="38" fontId="23" fillId="13" borderId="17" xfId="1" applyFont="1" applyFill="1" applyBorder="1" applyAlignment="1">
      <alignment horizontal="center" vertical="center"/>
    </xf>
    <xf numFmtId="38" fontId="4" fillId="13" borderId="7" xfId="1" applyFont="1" applyFill="1" applyBorder="1" applyAlignment="1">
      <alignment horizontal="center" vertical="center"/>
    </xf>
    <xf numFmtId="38" fontId="4" fillId="13" borderId="8" xfId="1" applyFont="1" applyFill="1" applyBorder="1" applyAlignment="1">
      <alignment horizontal="center" vertical="center"/>
    </xf>
    <xf numFmtId="38" fontId="4" fillId="13" borderId="9" xfId="1" applyFont="1" applyFill="1" applyBorder="1" applyAlignment="1">
      <alignment horizontal="center" vertical="center"/>
    </xf>
    <xf numFmtId="38" fontId="4" fillId="13" borderId="10" xfId="1" applyFont="1" applyFill="1" applyBorder="1" applyAlignment="1">
      <alignment horizontal="center" vertical="center"/>
    </xf>
    <xf numFmtId="38" fontId="4" fillId="13" borderId="75" xfId="1" applyFont="1" applyFill="1" applyBorder="1" applyAlignment="1">
      <alignment horizontal="center" vertical="center"/>
    </xf>
    <xf numFmtId="38" fontId="4" fillId="13" borderId="77" xfId="1" applyFont="1" applyFill="1" applyBorder="1" applyAlignment="1">
      <alignment horizontal="center" vertical="center"/>
    </xf>
    <xf numFmtId="38" fontId="6" fillId="13" borderId="13" xfId="1" applyFont="1" applyFill="1" applyBorder="1" applyAlignment="1">
      <alignment horizontal="center" vertical="center"/>
    </xf>
    <xf numFmtId="38" fontId="6" fillId="13" borderId="0" xfId="1" applyFont="1" applyFill="1" applyBorder="1" applyAlignment="1">
      <alignment horizontal="center" vertical="center"/>
    </xf>
    <xf numFmtId="38" fontId="34" fillId="9" borderId="1" xfId="1" applyFont="1" applyFill="1" applyBorder="1" applyAlignment="1">
      <alignment horizontal="center" vertical="center"/>
    </xf>
    <xf numFmtId="38" fontId="23" fillId="4" borderId="2" xfId="1" applyFont="1" applyFill="1" applyBorder="1" applyAlignment="1">
      <alignment horizontal="center" vertical="center"/>
    </xf>
    <xf numFmtId="38" fontId="23" fillId="4" borderId="3" xfId="1" applyFont="1" applyFill="1" applyBorder="1" applyAlignment="1">
      <alignment horizontal="center" vertical="center"/>
    </xf>
    <xf numFmtId="38" fontId="23" fillId="4" borderId="4" xfId="1" applyFont="1" applyFill="1" applyBorder="1" applyAlignment="1">
      <alignment horizontal="center" vertical="center"/>
    </xf>
    <xf numFmtId="38" fontId="23" fillId="4" borderId="5" xfId="1" applyFont="1" applyFill="1" applyBorder="1" applyAlignment="1">
      <alignment horizontal="center" vertical="center"/>
    </xf>
    <xf numFmtId="38" fontId="23" fillId="4" borderId="16" xfId="1" applyFont="1" applyFill="1" applyBorder="1" applyAlignment="1">
      <alignment horizontal="center" vertical="center"/>
    </xf>
    <xf numFmtId="38" fontId="23" fillId="4" borderId="17" xfId="1" applyFont="1" applyFill="1" applyBorder="1" applyAlignment="1">
      <alignment horizontal="center" vertical="center"/>
    </xf>
    <xf numFmtId="38" fontId="32" fillId="4" borderId="2" xfId="1" applyFont="1" applyFill="1" applyBorder="1" applyAlignment="1">
      <alignment horizontal="center" vertical="center"/>
    </xf>
    <xf numFmtId="38" fontId="32" fillId="4" borderId="3" xfId="1" applyFont="1" applyFill="1" applyBorder="1" applyAlignment="1">
      <alignment horizontal="center" vertical="center"/>
    </xf>
    <xf numFmtId="38" fontId="32" fillId="4" borderId="4" xfId="1" applyFont="1" applyFill="1" applyBorder="1" applyAlignment="1">
      <alignment horizontal="center" vertical="center"/>
    </xf>
    <xf numFmtId="38" fontId="32" fillId="4" borderId="5" xfId="1" applyFont="1" applyFill="1" applyBorder="1" applyAlignment="1">
      <alignment horizontal="center" vertical="center"/>
    </xf>
    <xf numFmtId="38" fontId="32" fillId="4" borderId="16" xfId="1" applyFont="1" applyFill="1" applyBorder="1" applyAlignment="1">
      <alignment horizontal="center" vertical="center"/>
    </xf>
    <xf numFmtId="38" fontId="32" fillId="4" borderId="17" xfId="1" applyFont="1" applyFill="1" applyBorder="1" applyAlignment="1">
      <alignment horizontal="center" vertical="center"/>
    </xf>
    <xf numFmtId="38" fontId="12" fillId="0" borderId="1" xfId="1" applyFont="1" applyBorder="1" applyAlignment="1" applyProtection="1">
      <alignment horizontal="center" vertical="center"/>
      <protection locked="0"/>
    </xf>
    <xf numFmtId="38" fontId="12" fillId="0" borderId="23" xfId="1" applyFont="1" applyBorder="1" applyAlignment="1" applyProtection="1">
      <alignment horizontal="center" vertical="center"/>
      <protection locked="0"/>
    </xf>
    <xf numFmtId="38" fontId="23" fillId="5" borderId="1" xfId="1" applyFont="1" applyFill="1" applyBorder="1" applyAlignment="1">
      <alignment horizontal="center" vertical="center" wrapText="1"/>
    </xf>
    <xf numFmtId="38" fontId="11" fillId="5" borderId="1" xfId="1" applyFont="1" applyFill="1" applyBorder="1" applyAlignment="1">
      <alignment horizontal="center" vertical="center" wrapText="1"/>
    </xf>
    <xf numFmtId="38" fontId="6" fillId="5" borderId="12" xfId="1" applyFont="1" applyFill="1" applyBorder="1" applyAlignment="1">
      <alignment horizontal="center" vertical="center"/>
    </xf>
    <xf numFmtId="38" fontId="23" fillId="5" borderId="2" xfId="1" applyFont="1" applyFill="1" applyBorder="1" applyAlignment="1">
      <alignment horizontal="center" vertical="center" wrapText="1"/>
    </xf>
    <xf numFmtId="38" fontId="23" fillId="5" borderId="3" xfId="1" applyFont="1" applyFill="1" applyBorder="1" applyAlignment="1">
      <alignment horizontal="center" vertical="center" wrapText="1"/>
    </xf>
    <xf numFmtId="38" fontId="23" fillId="5" borderId="4" xfId="1" applyFont="1" applyFill="1" applyBorder="1" applyAlignment="1">
      <alignment horizontal="center" vertical="center" wrapText="1"/>
    </xf>
    <xf numFmtId="38" fontId="23" fillId="5" borderId="5" xfId="1" applyFont="1" applyFill="1" applyBorder="1" applyAlignment="1">
      <alignment horizontal="center" vertical="center" wrapText="1"/>
    </xf>
    <xf numFmtId="38" fontId="23" fillId="5" borderId="16" xfId="1" applyFont="1" applyFill="1" applyBorder="1" applyAlignment="1">
      <alignment horizontal="center" vertical="center" wrapText="1"/>
    </xf>
    <xf numFmtId="38" fontId="23" fillId="5" borderId="17" xfId="1" applyFont="1" applyFill="1" applyBorder="1" applyAlignment="1">
      <alignment horizontal="center" vertical="center" wrapText="1"/>
    </xf>
    <xf numFmtId="38" fontId="4" fillId="5" borderId="7" xfId="1" applyFont="1" applyFill="1" applyBorder="1" applyAlignment="1">
      <alignment horizontal="center" vertical="center"/>
    </xf>
    <xf numFmtId="38" fontId="4" fillId="5" borderId="8" xfId="1" applyFont="1" applyFill="1" applyBorder="1" applyAlignment="1">
      <alignment horizontal="center" vertical="center"/>
    </xf>
    <xf numFmtId="38" fontId="4" fillId="5" borderId="9" xfId="1" applyFont="1" applyFill="1" applyBorder="1" applyAlignment="1">
      <alignment horizontal="center" vertical="center"/>
    </xf>
    <xf numFmtId="38" fontId="4" fillId="5" borderId="10" xfId="1" applyFont="1" applyFill="1" applyBorder="1" applyAlignment="1">
      <alignment horizontal="center" vertical="center"/>
    </xf>
    <xf numFmtId="38" fontId="4" fillId="5" borderId="75" xfId="1" applyFont="1" applyFill="1" applyBorder="1" applyAlignment="1">
      <alignment horizontal="center" vertical="center"/>
    </xf>
    <xf numFmtId="38" fontId="4" fillId="5" borderId="77" xfId="1" applyFont="1" applyFill="1" applyBorder="1" applyAlignment="1">
      <alignment horizontal="center" vertical="center"/>
    </xf>
    <xf numFmtId="38" fontId="23" fillId="5" borderId="2" xfId="1" applyFont="1" applyFill="1" applyBorder="1" applyAlignment="1">
      <alignment horizontal="center" vertical="center"/>
    </xf>
    <xf numFmtId="38" fontId="23" fillId="5" borderId="3" xfId="1" applyFont="1" applyFill="1" applyBorder="1" applyAlignment="1">
      <alignment horizontal="center" vertical="center"/>
    </xf>
    <xf numFmtId="38" fontId="23" fillId="5" borderId="4" xfId="1" applyFont="1" applyFill="1" applyBorder="1" applyAlignment="1">
      <alignment horizontal="center" vertical="center"/>
    </xf>
    <xf numFmtId="38" fontId="23" fillId="5" borderId="5" xfId="1" applyFont="1" applyFill="1" applyBorder="1" applyAlignment="1">
      <alignment horizontal="center" vertical="center"/>
    </xf>
    <xf numFmtId="38" fontId="23" fillId="5" borderId="16" xfId="1" applyFont="1" applyFill="1" applyBorder="1" applyAlignment="1">
      <alignment horizontal="center" vertical="center"/>
    </xf>
    <xf numFmtId="38" fontId="23" fillId="5" borderId="17" xfId="1" applyFont="1" applyFill="1" applyBorder="1" applyAlignment="1">
      <alignment horizontal="center" vertical="center"/>
    </xf>
    <xf numFmtId="38" fontId="32" fillId="5" borderId="2" xfId="1" applyFont="1" applyFill="1" applyBorder="1" applyAlignment="1">
      <alignment horizontal="center" vertical="center"/>
    </xf>
    <xf numFmtId="38" fontId="32" fillId="5" borderId="3" xfId="1" applyFont="1" applyFill="1" applyBorder="1" applyAlignment="1">
      <alignment horizontal="center" vertical="center"/>
    </xf>
    <xf numFmtId="38" fontId="32" fillId="5" borderId="4" xfId="1" applyFont="1" applyFill="1" applyBorder="1" applyAlignment="1">
      <alignment horizontal="center" vertical="center"/>
    </xf>
    <xf numFmtId="38" fontId="32" fillId="5" borderId="5" xfId="1" applyFont="1" applyFill="1" applyBorder="1" applyAlignment="1">
      <alignment horizontal="center" vertical="center"/>
    </xf>
    <xf numFmtId="38" fontId="32" fillId="5" borderId="16" xfId="1" applyFont="1" applyFill="1" applyBorder="1" applyAlignment="1">
      <alignment horizontal="center" vertical="center"/>
    </xf>
    <xf numFmtId="38" fontId="32" fillId="5" borderId="17" xfId="1" applyFont="1" applyFill="1" applyBorder="1" applyAlignment="1">
      <alignment horizontal="center" vertical="center"/>
    </xf>
    <xf numFmtId="38" fontId="12" fillId="13" borderId="1" xfId="1" applyFont="1" applyFill="1" applyBorder="1" applyAlignment="1" applyProtection="1">
      <alignment horizontal="center" vertical="center" wrapText="1"/>
      <protection locked="0"/>
    </xf>
    <xf numFmtId="38" fontId="12" fillId="13" borderId="37" xfId="1" applyFont="1" applyFill="1" applyBorder="1" applyAlignment="1" applyProtection="1">
      <alignment horizontal="center" vertical="center"/>
      <protection locked="0"/>
    </xf>
    <xf numFmtId="38" fontId="12" fillId="13" borderId="11" xfId="1" applyFont="1" applyFill="1" applyBorder="1" applyAlignment="1" applyProtection="1">
      <alignment horizontal="center" vertical="center"/>
      <protection locked="0"/>
    </xf>
    <xf numFmtId="38" fontId="12" fillId="13" borderId="15" xfId="1" applyFont="1" applyFill="1" applyBorder="1" applyAlignment="1" applyProtection="1">
      <alignment horizontal="center" vertical="center"/>
      <protection locked="0"/>
    </xf>
    <xf numFmtId="38" fontId="12" fillId="13" borderId="1" xfId="1" applyFont="1" applyFill="1" applyBorder="1" applyAlignment="1" applyProtection="1">
      <alignment horizontal="center" vertical="center"/>
      <protection locked="0"/>
    </xf>
    <xf numFmtId="38" fontId="4" fillId="0" borderId="11" xfId="1" applyFont="1" applyBorder="1" applyAlignment="1">
      <alignment horizontal="center" vertical="center"/>
    </xf>
    <xf numFmtId="38" fontId="28" fillId="14" borderId="1" xfId="1" applyFont="1" applyFill="1" applyBorder="1" applyAlignment="1">
      <alignment horizontal="center" vertical="center"/>
    </xf>
    <xf numFmtId="38" fontId="11" fillId="4" borderId="1" xfId="1" applyFont="1" applyFill="1" applyBorder="1" applyAlignment="1">
      <alignment horizontal="center" vertical="center" wrapText="1"/>
    </xf>
    <xf numFmtId="38" fontId="23" fillId="4" borderId="2" xfId="1" applyFont="1" applyFill="1" applyBorder="1" applyAlignment="1">
      <alignment horizontal="center" vertical="center" wrapText="1"/>
    </xf>
    <xf numFmtId="38" fontId="23" fillId="4" borderId="13" xfId="1" applyFont="1" applyFill="1" applyBorder="1" applyAlignment="1">
      <alignment horizontal="center" vertical="center" wrapText="1"/>
    </xf>
    <xf numFmtId="38" fontId="23" fillId="4" borderId="4" xfId="1" applyFont="1" applyFill="1" applyBorder="1" applyAlignment="1">
      <alignment horizontal="center" vertical="center" wrapText="1"/>
    </xf>
    <xf numFmtId="38" fontId="23" fillId="4" borderId="0" xfId="1" applyFont="1" applyFill="1" applyBorder="1" applyAlignment="1">
      <alignment horizontal="center" vertical="center" wrapText="1"/>
    </xf>
    <xf numFmtId="38" fontId="23" fillId="4" borderId="16" xfId="1" applyFont="1" applyFill="1" applyBorder="1" applyAlignment="1">
      <alignment horizontal="center" vertical="center" wrapText="1"/>
    </xf>
    <xf numFmtId="38" fontId="23" fillId="4" borderId="6" xfId="1" applyFont="1" applyFill="1" applyBorder="1" applyAlignment="1">
      <alignment horizontal="center" vertical="center" wrapText="1"/>
    </xf>
    <xf numFmtId="38" fontId="12" fillId="0" borderId="1" xfId="1" applyFont="1" applyFill="1" applyBorder="1" applyAlignment="1" applyProtection="1">
      <alignment horizontal="center" vertical="center"/>
      <protection locked="0"/>
    </xf>
    <xf numFmtId="38" fontId="53" fillId="0" borderId="37" xfId="1" applyFont="1" applyBorder="1" applyAlignment="1" applyProtection="1">
      <alignment horizontal="center" vertical="center"/>
      <protection locked="0"/>
    </xf>
    <xf numFmtId="38" fontId="53" fillId="0" borderId="15" xfId="1" applyFont="1" applyBorder="1" applyAlignment="1" applyProtection="1">
      <alignment horizontal="center" vertical="center"/>
      <protection locked="0"/>
    </xf>
    <xf numFmtId="38" fontId="12" fillId="0" borderId="37" xfId="1" applyFont="1" applyFill="1" applyBorder="1" applyAlignment="1" applyProtection="1">
      <alignment horizontal="center" vertical="center"/>
      <protection locked="0"/>
    </xf>
    <xf numFmtId="38" fontId="12" fillId="0" borderId="11" xfId="1" applyFont="1" applyFill="1" applyBorder="1" applyAlignment="1" applyProtection="1">
      <alignment horizontal="center" vertical="center"/>
      <protection locked="0"/>
    </xf>
    <xf numFmtId="38" fontId="12" fillId="0" borderId="15" xfId="1" applyFont="1" applyFill="1" applyBorder="1" applyAlignment="1" applyProtection="1">
      <alignment horizontal="center" vertical="center"/>
      <protection locked="0"/>
    </xf>
    <xf numFmtId="38" fontId="12" fillId="0" borderId="58" xfId="1" applyFont="1" applyFill="1" applyBorder="1" applyAlignment="1" applyProtection="1">
      <alignment horizontal="center" vertical="center"/>
      <protection locked="0"/>
    </xf>
    <xf numFmtId="38" fontId="28" fillId="0" borderId="4" xfId="1" applyFont="1" applyFill="1" applyBorder="1" applyAlignment="1">
      <alignment horizontal="center" vertical="center"/>
    </xf>
    <xf numFmtId="38" fontId="33" fillId="7" borderId="14" xfId="1" applyFont="1" applyFill="1" applyBorder="1" applyAlignment="1">
      <alignment horizontal="center" vertical="center"/>
    </xf>
    <xf numFmtId="38" fontId="33" fillId="7" borderId="12" xfId="1" applyFont="1" applyFill="1" applyBorder="1" applyAlignment="1">
      <alignment horizontal="center" vertical="center"/>
    </xf>
    <xf numFmtId="38" fontId="33" fillId="7" borderId="29" xfId="1" applyFont="1" applyFill="1" applyBorder="1" applyAlignment="1">
      <alignment horizontal="center" vertical="center"/>
    </xf>
    <xf numFmtId="38" fontId="12" fillId="5" borderId="37" xfId="1" applyFont="1" applyFill="1" applyBorder="1" applyAlignment="1" applyProtection="1">
      <alignment horizontal="center" vertical="center"/>
      <protection locked="0"/>
    </xf>
    <xf numFmtId="38" fontId="12" fillId="5" borderId="11" xfId="1" applyFont="1" applyFill="1" applyBorder="1" applyAlignment="1" applyProtection="1">
      <alignment horizontal="center" vertical="center"/>
      <protection locked="0"/>
    </xf>
    <xf numFmtId="38" fontId="12" fillId="5" borderId="15" xfId="1" applyFont="1" applyFill="1" applyBorder="1" applyAlignment="1" applyProtection="1">
      <alignment horizontal="center" vertical="center"/>
      <protection locked="0"/>
    </xf>
    <xf numFmtId="38" fontId="12" fillId="5" borderId="1" xfId="1" applyFont="1" applyFill="1" applyBorder="1" applyAlignment="1" applyProtection="1">
      <alignment horizontal="center" vertical="center"/>
      <protection locked="0"/>
    </xf>
    <xf numFmtId="38" fontId="12" fillId="5" borderId="23" xfId="1" applyFont="1" applyFill="1" applyBorder="1" applyAlignment="1" applyProtection="1">
      <alignment horizontal="center" vertical="center"/>
      <protection locked="0"/>
    </xf>
    <xf numFmtId="38" fontId="52" fillId="0" borderId="20" xfId="1" applyFont="1" applyBorder="1" applyAlignment="1" applyProtection="1">
      <alignment horizontal="center" vertical="center"/>
      <protection locked="0"/>
    </xf>
    <xf numFmtId="38" fontId="4" fillId="5" borderId="0" xfId="1" applyFont="1" applyFill="1" applyBorder="1" applyAlignment="1">
      <alignment horizontal="center" vertical="center"/>
    </xf>
    <xf numFmtId="38" fontId="12" fillId="0" borderId="19" xfId="1" applyFont="1" applyFill="1" applyBorder="1" applyAlignment="1" applyProtection="1">
      <alignment horizontal="center" vertical="center"/>
      <protection locked="0"/>
    </xf>
    <xf numFmtId="38" fontId="12" fillId="5" borderId="19" xfId="1" applyFont="1" applyFill="1" applyBorder="1" applyAlignment="1" applyProtection="1">
      <alignment horizontal="center" vertical="center" wrapText="1"/>
      <protection locked="0"/>
    </xf>
    <xf numFmtId="38" fontId="12" fillId="0" borderId="19" xfId="1" applyFont="1" applyBorder="1" applyAlignment="1" applyProtection="1">
      <alignment horizontal="center" vertical="center"/>
      <protection locked="0"/>
    </xf>
    <xf numFmtId="38" fontId="12" fillId="0" borderId="51" xfId="1" applyFont="1" applyFill="1" applyBorder="1" applyAlignment="1" applyProtection="1">
      <alignment horizontal="center" vertical="center"/>
      <protection locked="0"/>
    </xf>
    <xf numFmtId="38" fontId="12" fillId="0" borderId="52" xfId="1" applyFont="1" applyFill="1" applyBorder="1" applyAlignment="1" applyProtection="1">
      <alignment horizontal="center" vertical="center"/>
      <protection locked="0"/>
    </xf>
    <xf numFmtId="38" fontId="12" fillId="0" borderId="53" xfId="1" applyFont="1" applyFill="1" applyBorder="1" applyAlignment="1" applyProtection="1">
      <alignment horizontal="center" vertical="center"/>
      <protection locked="0"/>
    </xf>
    <xf numFmtId="38" fontId="12" fillId="0" borderId="23" xfId="1" applyFont="1" applyFill="1" applyBorder="1" applyAlignment="1" applyProtection="1">
      <alignment horizontal="center" vertical="center"/>
      <protection locked="0"/>
    </xf>
    <xf numFmtId="38" fontId="12" fillId="5" borderId="1" xfId="1" applyFont="1" applyFill="1" applyBorder="1" applyAlignment="1" applyProtection="1">
      <alignment horizontal="center" vertical="center" wrapText="1"/>
      <protection locked="0"/>
    </xf>
    <xf numFmtId="38" fontId="12" fillId="13" borderId="23" xfId="1" applyFont="1" applyFill="1" applyBorder="1" applyAlignment="1" applyProtection="1">
      <alignment horizontal="center" vertical="center"/>
      <protection locked="0"/>
    </xf>
    <xf numFmtId="38" fontId="6" fillId="2" borderId="12" xfId="1" applyFont="1" applyFill="1" applyBorder="1" applyAlignment="1">
      <alignment horizontal="center" vertical="center"/>
    </xf>
    <xf numFmtId="38" fontId="17" fillId="8" borderId="1" xfId="1" applyFont="1" applyFill="1" applyBorder="1" applyAlignment="1">
      <alignment horizontal="center" vertical="center" wrapText="1"/>
    </xf>
    <xf numFmtId="38" fontId="17" fillId="8" borderId="1" xfId="1" applyFont="1" applyFill="1" applyBorder="1" applyAlignment="1">
      <alignment horizontal="center" vertical="center"/>
    </xf>
    <xf numFmtId="38" fontId="23" fillId="2" borderId="1" xfId="1" applyFont="1" applyFill="1" applyBorder="1" applyAlignment="1">
      <alignment horizontal="center" vertical="center" wrapText="1"/>
    </xf>
    <xf numFmtId="38" fontId="23" fillId="2" borderId="1" xfId="1" applyFont="1" applyFill="1" applyBorder="1" applyAlignment="1">
      <alignment horizontal="center" vertical="center"/>
    </xf>
    <xf numFmtId="38" fontId="11" fillId="2" borderId="2" xfId="1" applyFont="1" applyFill="1" applyBorder="1" applyAlignment="1">
      <alignment horizontal="center" vertical="center"/>
    </xf>
    <xf numFmtId="38" fontId="11" fillId="2" borderId="3" xfId="1" applyFont="1" applyFill="1" applyBorder="1" applyAlignment="1">
      <alignment horizontal="center" vertical="center"/>
    </xf>
    <xf numFmtId="38" fontId="11" fillId="2" borderId="4" xfId="1" applyFont="1" applyFill="1" applyBorder="1" applyAlignment="1">
      <alignment horizontal="center" vertical="center"/>
    </xf>
    <xf numFmtId="38" fontId="11" fillId="2" borderId="5" xfId="1" applyFont="1" applyFill="1" applyBorder="1" applyAlignment="1">
      <alignment horizontal="center" vertical="center"/>
    </xf>
    <xf numFmtId="38" fontId="25" fillId="0" borderId="0" xfId="1" applyFont="1" applyBorder="1" applyAlignment="1">
      <alignment horizontal="center" vertical="center"/>
    </xf>
    <xf numFmtId="38" fontId="25" fillId="0" borderId="0" xfId="1" applyFont="1" applyAlignment="1">
      <alignment horizontal="center" vertical="center"/>
    </xf>
    <xf numFmtId="38" fontId="12" fillId="14" borderId="1" xfId="1" applyFont="1" applyFill="1" applyBorder="1" applyAlignment="1">
      <alignment horizontal="center" vertical="center"/>
    </xf>
    <xf numFmtId="38" fontId="6" fillId="2" borderId="6" xfId="1" applyFont="1" applyFill="1" applyBorder="1" applyAlignment="1">
      <alignment horizontal="center" vertical="center"/>
    </xf>
    <xf numFmtId="38" fontId="23" fillId="4" borderId="3" xfId="1" applyFont="1" applyFill="1" applyBorder="1" applyAlignment="1">
      <alignment horizontal="center" vertical="center" wrapText="1"/>
    </xf>
    <xf numFmtId="38" fontId="23" fillId="4" borderId="5" xfId="1" applyFont="1" applyFill="1" applyBorder="1" applyAlignment="1">
      <alignment horizontal="center" vertical="center" wrapText="1"/>
    </xf>
    <xf numFmtId="38" fontId="23" fillId="4" borderId="17" xfId="1" applyFont="1" applyFill="1" applyBorder="1" applyAlignment="1">
      <alignment horizontal="center" vertical="center" wrapText="1"/>
    </xf>
    <xf numFmtId="38" fontId="7" fillId="4" borderId="76" xfId="1" applyFont="1" applyFill="1" applyBorder="1" applyAlignment="1">
      <alignment horizontal="center" vertical="center"/>
    </xf>
    <xf numFmtId="38" fontId="6" fillId="4" borderId="12" xfId="1" applyFont="1" applyFill="1" applyBorder="1" applyAlignment="1">
      <alignment horizontal="center" vertical="center"/>
    </xf>
    <xf numFmtId="38" fontId="30" fillId="0" borderId="1" xfId="1" applyFont="1" applyBorder="1" applyAlignment="1">
      <alignment horizontal="center" vertical="center" wrapText="1"/>
    </xf>
    <xf numFmtId="38" fontId="53" fillId="0" borderId="1" xfId="1" applyFont="1" applyFill="1" applyBorder="1" applyAlignment="1" applyProtection="1">
      <alignment horizontal="center" vertical="center" wrapText="1"/>
      <protection locked="0"/>
    </xf>
    <xf numFmtId="38" fontId="12" fillId="0" borderId="20" xfId="1" applyFont="1" applyBorder="1" applyAlignment="1" applyProtection="1">
      <alignment horizontal="center" vertical="center"/>
      <protection locked="0"/>
    </xf>
    <xf numFmtId="38" fontId="30" fillId="0" borderId="0" xfId="1" applyFont="1" applyBorder="1" applyAlignment="1">
      <alignment horizontal="left" vertical="top" wrapText="1"/>
    </xf>
    <xf numFmtId="38" fontId="17" fillId="7" borderId="1" xfId="1" applyFont="1" applyFill="1" applyBorder="1" applyAlignment="1">
      <alignment horizontal="center" vertical="center" wrapText="1"/>
    </xf>
    <xf numFmtId="38" fontId="17" fillId="7" borderId="1" xfId="1" applyFont="1" applyFill="1" applyBorder="1" applyAlignment="1">
      <alignment horizontal="center" vertical="center"/>
    </xf>
    <xf numFmtId="38" fontId="23" fillId="2" borderId="2" xfId="1" applyFont="1" applyFill="1" applyBorder="1" applyAlignment="1">
      <alignment horizontal="center" vertical="center" wrapText="1"/>
    </xf>
    <xf numFmtId="38" fontId="23" fillId="2" borderId="3" xfId="1" applyFont="1" applyFill="1" applyBorder="1" applyAlignment="1">
      <alignment horizontal="center" vertical="center"/>
    </xf>
    <xf numFmtId="38" fontId="23" fillId="2" borderId="4" xfId="1" applyFont="1" applyFill="1" applyBorder="1" applyAlignment="1">
      <alignment horizontal="center" vertical="center"/>
    </xf>
    <xf numFmtId="38" fontId="23" fillId="2" borderId="5" xfId="1" applyFont="1" applyFill="1" applyBorder="1" applyAlignment="1">
      <alignment horizontal="center" vertical="center"/>
    </xf>
    <xf numFmtId="12" fontId="4" fillId="0" borderId="11" xfId="1" applyNumberFormat="1" applyFont="1" applyBorder="1" applyAlignment="1">
      <alignment horizontal="center" vertical="center"/>
    </xf>
    <xf numFmtId="38" fontId="12" fillId="0" borderId="22" xfId="1" applyFont="1" applyBorder="1" applyAlignment="1" applyProtection="1">
      <alignment horizontal="center" vertical="center"/>
      <protection locked="0"/>
    </xf>
    <xf numFmtId="38" fontId="22" fillId="0" borderId="28" xfId="1" applyFont="1" applyBorder="1" applyAlignment="1">
      <alignment horizontal="center" vertical="center"/>
    </xf>
    <xf numFmtId="38" fontId="22" fillId="0" borderId="79" xfId="1" applyFont="1" applyBorder="1" applyAlignment="1">
      <alignment horizontal="center" vertical="center"/>
    </xf>
    <xf numFmtId="38" fontId="12" fillId="0" borderId="0" xfId="1" applyFont="1" applyFill="1" applyBorder="1" applyAlignment="1">
      <alignment horizontal="center" vertical="center" wrapText="1"/>
    </xf>
    <xf numFmtId="38" fontId="45" fillId="17" borderId="1" xfId="1" applyFont="1" applyFill="1" applyBorder="1" applyAlignment="1">
      <alignment horizontal="center" vertical="center" wrapText="1"/>
    </xf>
    <xf numFmtId="38" fontId="45" fillId="17" borderId="1" xfId="1" applyFont="1" applyFill="1" applyBorder="1" applyAlignment="1">
      <alignment horizontal="center" vertical="center"/>
    </xf>
    <xf numFmtId="38" fontId="45" fillId="18" borderId="1" xfId="1" applyFont="1" applyFill="1" applyBorder="1" applyAlignment="1">
      <alignment horizontal="center" vertical="center" wrapText="1"/>
    </xf>
    <xf numFmtId="38" fontId="31" fillId="3" borderId="45" xfId="1" applyFont="1" applyFill="1" applyBorder="1" applyAlignment="1">
      <alignment horizontal="center" vertical="center"/>
    </xf>
    <xf numFmtId="38" fontId="31" fillId="3" borderId="46" xfId="1" applyFont="1" applyFill="1" applyBorder="1" applyAlignment="1">
      <alignment horizontal="center" vertical="center"/>
    </xf>
    <xf numFmtId="38" fontId="31" fillId="3" borderId="47" xfId="1" applyFont="1" applyFill="1" applyBorder="1" applyAlignment="1">
      <alignment horizontal="center" vertical="center"/>
    </xf>
    <xf numFmtId="38" fontId="10" fillId="0" borderId="1" xfId="1" applyFont="1" applyBorder="1" applyAlignment="1">
      <alignment horizontal="center" vertical="center"/>
    </xf>
    <xf numFmtId="38" fontId="32" fillId="13" borderId="1" xfId="1" applyFont="1" applyFill="1" applyBorder="1" applyAlignment="1">
      <alignment horizontal="center" vertical="center"/>
    </xf>
    <xf numFmtId="38" fontId="18" fillId="3" borderId="1" xfId="1" applyFont="1" applyFill="1" applyBorder="1" applyAlignment="1">
      <alignment horizontal="center" vertical="center" wrapText="1"/>
    </xf>
    <xf numFmtId="38" fontId="18" fillId="3" borderId="1" xfId="1" applyFont="1" applyFill="1" applyBorder="1" applyAlignment="1">
      <alignment horizontal="center" vertical="center"/>
    </xf>
    <xf numFmtId="38" fontId="32" fillId="2" borderId="1" xfId="1" applyFont="1" applyFill="1" applyBorder="1" applyAlignment="1">
      <alignment horizontal="center" vertical="center"/>
    </xf>
    <xf numFmtId="38" fontId="9" fillId="0" borderId="11" xfId="1" applyFont="1" applyBorder="1" applyAlignment="1">
      <alignment horizontal="center" vertical="center"/>
    </xf>
    <xf numFmtId="38" fontId="12" fillId="0" borderId="1" xfId="1" applyFont="1" applyFill="1" applyBorder="1" applyAlignment="1" applyProtection="1">
      <alignment horizontal="center" vertical="center" wrapText="1"/>
      <protection locked="0"/>
    </xf>
    <xf numFmtId="38" fontId="8" fillId="0" borderId="50" xfId="1" applyFont="1" applyBorder="1" applyAlignment="1">
      <alignment horizontal="center" vertical="center"/>
    </xf>
    <xf numFmtId="38" fontId="20" fillId="3" borderId="20" xfId="1" applyFont="1" applyFill="1" applyBorder="1" applyAlignment="1">
      <alignment horizontal="center" vertical="center"/>
    </xf>
    <xf numFmtId="38" fontId="20" fillId="3" borderId="1" xfId="1" applyFont="1" applyFill="1" applyBorder="1" applyAlignment="1">
      <alignment horizontal="center" vertical="center"/>
    </xf>
    <xf numFmtId="38" fontId="20" fillId="3" borderId="21" xfId="1" applyFont="1" applyFill="1" applyBorder="1" applyAlignment="1">
      <alignment horizontal="center" vertical="center"/>
    </xf>
    <xf numFmtId="38" fontId="20" fillId="3" borderId="22" xfId="1" applyFont="1" applyFill="1" applyBorder="1" applyAlignment="1">
      <alignment horizontal="center" vertical="center"/>
    </xf>
    <xf numFmtId="38" fontId="20" fillId="3" borderId="23" xfId="1" applyFont="1" applyFill="1" applyBorder="1" applyAlignment="1">
      <alignment horizontal="center" vertical="center"/>
    </xf>
    <xf numFmtId="38" fontId="20" fillId="3" borderId="24" xfId="1" applyFont="1" applyFill="1" applyBorder="1" applyAlignment="1">
      <alignment horizontal="center" vertical="center"/>
    </xf>
    <xf numFmtId="38" fontId="38" fillId="0" borderId="44" xfId="1" applyFont="1" applyBorder="1" applyAlignment="1">
      <alignment horizontal="center" vertical="center"/>
    </xf>
    <xf numFmtId="38" fontId="38" fillId="0" borderId="0" xfId="1" applyFont="1" applyAlignment="1">
      <alignment horizontal="center" vertical="center"/>
    </xf>
    <xf numFmtId="38" fontId="10" fillId="9" borderId="1" xfId="1" applyFont="1" applyFill="1" applyBorder="1" applyAlignment="1">
      <alignment horizontal="center" vertical="center" wrapText="1"/>
    </xf>
    <xf numFmtId="38" fontId="17" fillId="9" borderId="1" xfId="1" applyFont="1" applyFill="1" applyBorder="1" applyAlignment="1">
      <alignment horizontal="center" vertical="center"/>
    </xf>
    <xf numFmtId="38" fontId="12" fillId="0" borderId="1" xfId="1" applyFont="1" applyBorder="1" applyAlignment="1" applyProtection="1">
      <alignment horizontal="center" vertical="center" wrapText="1"/>
      <protection locked="0"/>
    </xf>
    <xf numFmtId="38" fontId="0" fillId="6" borderId="1" xfId="1" applyFont="1" applyFill="1" applyBorder="1" applyAlignment="1" applyProtection="1">
      <alignment horizontal="center" vertical="center"/>
      <protection locked="0"/>
    </xf>
    <xf numFmtId="38" fontId="0" fillId="0" borderId="0" xfId="1" applyFont="1" applyAlignment="1">
      <alignment horizontal="center" vertical="center"/>
    </xf>
    <xf numFmtId="38" fontId="45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38" fontId="0" fillId="6" borderId="2" xfId="1" applyFont="1" applyFill="1" applyBorder="1" applyAlignment="1" applyProtection="1">
      <alignment horizontal="center" vertical="center"/>
      <protection locked="0"/>
    </xf>
    <xf numFmtId="38" fontId="0" fillId="6" borderId="3" xfId="1" applyFont="1" applyFill="1" applyBorder="1" applyAlignment="1" applyProtection="1">
      <alignment horizontal="center" vertical="center"/>
      <protection locked="0"/>
    </xf>
    <xf numFmtId="38" fontId="0" fillId="6" borderId="4" xfId="1" applyFont="1" applyFill="1" applyBorder="1" applyAlignment="1" applyProtection="1">
      <alignment horizontal="center" vertical="center"/>
      <protection locked="0"/>
    </xf>
    <xf numFmtId="38" fontId="0" fillId="6" borderId="5" xfId="1" applyFont="1" applyFill="1" applyBorder="1" applyAlignment="1" applyProtection="1">
      <alignment horizontal="center" vertical="center"/>
      <protection locked="0"/>
    </xf>
    <xf numFmtId="38" fontId="0" fillId="6" borderId="16" xfId="1" applyFont="1" applyFill="1" applyBorder="1" applyAlignment="1" applyProtection="1">
      <alignment horizontal="center" vertical="center"/>
      <protection locked="0"/>
    </xf>
    <xf numFmtId="38" fontId="0" fillId="6" borderId="17" xfId="1" applyFont="1" applyFill="1" applyBorder="1" applyAlignment="1" applyProtection="1">
      <alignment horizontal="center" vertical="center"/>
      <protection locked="0"/>
    </xf>
    <xf numFmtId="38" fontId="40" fillId="0" borderId="4" xfId="1" applyFont="1" applyBorder="1" applyAlignment="1">
      <alignment horizontal="center" vertical="center"/>
    </xf>
    <xf numFmtId="38" fontId="0" fillId="0" borderId="48" xfId="1" applyFont="1" applyBorder="1" applyAlignment="1">
      <alignment horizontal="center" vertical="center"/>
    </xf>
    <xf numFmtId="38" fontId="0" fillId="0" borderId="49" xfId="1" applyFont="1" applyBorder="1" applyAlignment="1">
      <alignment horizontal="center" vertical="center"/>
    </xf>
    <xf numFmtId="38" fontId="42" fillId="0" borderId="36" xfId="1" applyFont="1" applyBorder="1" applyAlignment="1">
      <alignment horizontal="center" vertical="center"/>
    </xf>
    <xf numFmtId="38" fontId="5" fillId="0" borderId="36" xfId="1" applyFont="1" applyBorder="1" applyAlignment="1">
      <alignment horizontal="center" vertical="center"/>
    </xf>
    <xf numFmtId="38" fontId="47" fillId="0" borderId="1" xfId="1" applyFont="1" applyBorder="1" applyAlignment="1">
      <alignment horizontal="center" vertical="center" wrapText="1"/>
    </xf>
    <xf numFmtId="38" fontId="48" fillId="0" borderId="1" xfId="1" applyFont="1" applyBorder="1" applyAlignment="1">
      <alignment horizontal="center" vertical="center" wrapText="1"/>
    </xf>
    <xf numFmtId="38" fontId="0" fillId="0" borderId="0" xfId="1" applyFont="1" applyBorder="1" applyAlignment="1">
      <alignment horizontal="center" vertical="center"/>
    </xf>
    <xf numFmtId="38" fontId="41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6" borderId="1" xfId="0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43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 wrapText="1"/>
    </xf>
    <xf numFmtId="0" fontId="43" fillId="0" borderId="6" xfId="0" applyFont="1" applyBorder="1" applyAlignment="1">
      <alignment horizontal="center" vertical="center" wrapText="1"/>
    </xf>
    <xf numFmtId="0" fontId="43" fillId="0" borderId="1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49" fillId="0" borderId="13" xfId="0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49" fillId="0" borderId="4" xfId="0" applyFont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49" fillId="0" borderId="6" xfId="0" applyFont="1" applyBorder="1" applyAlignment="1">
      <alignment horizontal="center" vertical="center" wrapText="1"/>
    </xf>
    <xf numFmtId="0" fontId="49" fillId="0" borderId="17" xfId="0" applyFont="1" applyBorder="1" applyAlignment="1">
      <alignment horizontal="center" vertical="center" wrapText="1"/>
    </xf>
    <xf numFmtId="38" fontId="34" fillId="3" borderId="64" xfId="1" applyFont="1" applyFill="1" applyBorder="1" applyAlignment="1">
      <alignment horizontal="center" vertical="center"/>
    </xf>
    <xf numFmtId="38" fontId="34" fillId="3" borderId="67" xfId="1" applyFont="1" applyFill="1" applyBorder="1" applyAlignment="1">
      <alignment horizontal="center" vertical="center"/>
    </xf>
    <xf numFmtId="38" fontId="35" fillId="3" borderId="62" xfId="1" applyFont="1" applyFill="1" applyBorder="1" applyAlignment="1">
      <alignment horizontal="center" vertical="center"/>
    </xf>
    <xf numFmtId="38" fontId="35" fillId="3" borderId="64" xfId="1" applyFont="1" applyFill="1" applyBorder="1" applyAlignment="1">
      <alignment horizontal="center" vertical="center"/>
    </xf>
    <xf numFmtId="38" fontId="35" fillId="3" borderId="65" xfId="1" applyFont="1" applyFill="1" applyBorder="1" applyAlignment="1">
      <alignment horizontal="center" vertical="center"/>
    </xf>
    <xf numFmtId="38" fontId="35" fillId="3" borderId="63" xfId="1" applyFont="1" applyFill="1" applyBorder="1" applyAlignment="1">
      <alignment horizontal="center" vertical="center"/>
    </xf>
    <xf numFmtId="10" fontId="34" fillId="7" borderId="72" xfId="1" applyNumberFormat="1" applyFont="1" applyFill="1" applyBorder="1" applyAlignment="1">
      <alignment horizontal="center" vertical="center"/>
    </xf>
    <xf numFmtId="38" fontId="25" fillId="13" borderId="14" xfId="1" applyFont="1" applyFill="1" applyBorder="1" applyAlignment="1">
      <alignment horizontal="center" vertical="center"/>
    </xf>
    <xf numFmtId="38" fontId="25" fillId="13" borderId="29" xfId="1" applyFont="1" applyFill="1" applyBorder="1" applyAlignment="1">
      <alignment horizontal="center" vertical="center"/>
    </xf>
    <xf numFmtId="38" fontId="34" fillId="15" borderId="73" xfId="1" applyFont="1" applyFill="1" applyBorder="1" applyAlignment="1">
      <alignment horizontal="center" vertical="center"/>
    </xf>
    <xf numFmtId="10" fontId="34" fillId="7" borderId="73" xfId="1" applyNumberFormat="1" applyFont="1" applyFill="1" applyBorder="1" applyAlignment="1">
      <alignment horizontal="center" vertical="center"/>
    </xf>
    <xf numFmtId="10" fontId="34" fillId="7" borderId="74" xfId="1" applyNumberFormat="1" applyFont="1" applyFill="1" applyBorder="1" applyAlignment="1">
      <alignment horizontal="center" vertical="center"/>
    </xf>
    <xf numFmtId="38" fontId="34" fillId="15" borderId="72" xfId="1" applyFont="1" applyFill="1" applyBorder="1" applyAlignment="1">
      <alignment horizontal="center" vertical="center"/>
    </xf>
    <xf numFmtId="38" fontId="34" fillId="16" borderId="69" xfId="1" applyFont="1" applyFill="1" applyBorder="1" applyAlignment="1">
      <alignment horizontal="center" vertical="center"/>
    </xf>
    <xf numFmtId="38" fontId="34" fillId="16" borderId="70" xfId="1" applyFont="1" applyFill="1" applyBorder="1" applyAlignment="1">
      <alignment horizontal="center" vertical="center"/>
    </xf>
    <xf numFmtId="38" fontId="34" fillId="16" borderId="71" xfId="1" applyFont="1" applyFill="1" applyBorder="1" applyAlignment="1">
      <alignment horizontal="center" vertical="center"/>
    </xf>
    <xf numFmtId="38" fontId="25" fillId="2" borderId="1" xfId="1" applyFont="1" applyFill="1" applyBorder="1" applyAlignment="1">
      <alignment horizontal="center" vertical="center"/>
    </xf>
    <xf numFmtId="38" fontId="25" fillId="5" borderId="1" xfId="1" applyFont="1" applyFill="1" applyBorder="1" applyAlignment="1">
      <alignment horizontal="center" vertical="center"/>
    </xf>
    <xf numFmtId="38" fontId="25" fillId="4" borderId="1" xfId="1" applyFont="1" applyFill="1" applyBorder="1" applyAlignment="1">
      <alignment horizontal="center" vertical="center"/>
    </xf>
    <xf numFmtId="38" fontId="12" fillId="3" borderId="13" xfId="1" applyFont="1" applyFill="1" applyBorder="1" applyAlignment="1">
      <alignment horizontal="center" vertical="center"/>
    </xf>
    <xf numFmtId="38" fontId="12" fillId="3" borderId="3" xfId="1" applyFont="1" applyFill="1" applyBorder="1" applyAlignment="1">
      <alignment horizontal="center" vertical="center"/>
    </xf>
    <xf numFmtId="38" fontId="12" fillId="3" borderId="0" xfId="1" applyFont="1" applyFill="1" applyBorder="1" applyAlignment="1">
      <alignment horizontal="center" vertical="center"/>
    </xf>
    <xf numFmtId="38" fontId="12" fillId="3" borderId="5" xfId="1" applyFont="1" applyFill="1" applyBorder="1" applyAlignment="1">
      <alignment horizontal="center" vertical="center"/>
    </xf>
    <xf numFmtId="38" fontId="12" fillId="3" borderId="6" xfId="1" applyFont="1" applyFill="1" applyBorder="1" applyAlignment="1">
      <alignment horizontal="center" vertical="center"/>
    </xf>
    <xf numFmtId="38" fontId="12" fillId="3" borderId="17" xfId="1" applyFont="1" applyFill="1" applyBorder="1" applyAlignment="1">
      <alignment horizontal="center" vertical="center"/>
    </xf>
    <xf numFmtId="38" fontId="12" fillId="14" borderId="2" xfId="1" applyFont="1" applyFill="1" applyBorder="1" applyAlignment="1">
      <alignment horizontal="center" vertical="center"/>
    </xf>
    <xf numFmtId="38" fontId="12" fillId="14" borderId="3" xfId="1" applyFont="1" applyFill="1" applyBorder="1" applyAlignment="1">
      <alignment horizontal="center" vertical="center"/>
    </xf>
    <xf numFmtId="38" fontId="12" fillId="14" borderId="4" xfId="1" applyFont="1" applyFill="1" applyBorder="1" applyAlignment="1">
      <alignment horizontal="center" vertical="center"/>
    </xf>
    <xf numFmtId="38" fontId="12" fillId="14" borderId="5" xfId="1" applyFont="1" applyFill="1" applyBorder="1" applyAlignment="1">
      <alignment horizontal="center" vertical="center"/>
    </xf>
    <xf numFmtId="38" fontId="12" fillId="14" borderId="16" xfId="1" applyFont="1" applyFill="1" applyBorder="1" applyAlignment="1">
      <alignment horizontal="center" vertical="center"/>
    </xf>
    <xf numFmtId="38" fontId="12" fillId="14" borderId="17" xfId="1" applyFont="1" applyFill="1" applyBorder="1" applyAlignment="1">
      <alignment horizontal="center" vertical="center"/>
    </xf>
    <xf numFmtId="38" fontId="24" fillId="0" borderId="37" xfId="1" applyFont="1" applyBorder="1" applyAlignment="1">
      <alignment horizontal="center" vertical="center"/>
    </xf>
    <xf numFmtId="38" fontId="24" fillId="0" borderId="11" xfId="1" applyFont="1" applyBorder="1" applyAlignment="1">
      <alignment horizontal="center" vertical="center"/>
    </xf>
    <xf numFmtId="38" fontId="24" fillId="0" borderId="15" xfId="1" applyFont="1" applyBorder="1" applyAlignment="1">
      <alignment horizontal="center" vertical="center"/>
    </xf>
    <xf numFmtId="38" fontId="25" fillId="0" borderId="2" xfId="1" applyFont="1" applyBorder="1" applyAlignment="1">
      <alignment horizontal="center" vertical="center"/>
    </xf>
    <xf numFmtId="38" fontId="25" fillId="0" borderId="3" xfId="1" applyFont="1" applyBorder="1" applyAlignment="1">
      <alignment horizontal="center" vertical="center"/>
    </xf>
    <xf numFmtId="38" fontId="25" fillId="0" borderId="4" xfId="1" applyFont="1" applyBorder="1" applyAlignment="1">
      <alignment horizontal="center" vertical="center"/>
    </xf>
    <xf numFmtId="38" fontId="25" fillId="0" borderId="5" xfId="1" applyFont="1" applyBorder="1" applyAlignment="1">
      <alignment horizontal="center" vertical="center"/>
    </xf>
    <xf numFmtId="38" fontId="25" fillId="0" borderId="16" xfId="1" applyFont="1" applyBorder="1" applyAlignment="1">
      <alignment horizontal="center" vertical="center"/>
    </xf>
    <xf numFmtId="38" fontId="25" fillId="0" borderId="17" xfId="1" applyFont="1" applyBorder="1" applyAlignment="1">
      <alignment horizontal="center" vertical="center"/>
    </xf>
    <xf numFmtId="38" fontId="12" fillId="0" borderId="1" xfId="1" applyFont="1" applyBorder="1" applyAlignment="1">
      <alignment horizontal="center" vertical="center"/>
    </xf>
    <xf numFmtId="38" fontId="12" fillId="13" borderId="14" xfId="1" applyFont="1" applyFill="1" applyBorder="1" applyAlignment="1">
      <alignment horizontal="center" vertical="center"/>
    </xf>
    <xf numFmtId="38" fontId="12" fillId="13" borderId="12" xfId="1" applyFont="1" applyFill="1" applyBorder="1" applyAlignment="1">
      <alignment horizontal="center" vertical="center"/>
    </xf>
    <xf numFmtId="38" fontId="12" fillId="13" borderId="29" xfId="1" applyFont="1" applyFill="1" applyBorder="1" applyAlignment="1">
      <alignment horizontal="center" vertical="center"/>
    </xf>
    <xf numFmtId="38" fontId="12" fillId="5" borderId="1" xfId="1" applyFont="1" applyFill="1" applyBorder="1" applyAlignment="1">
      <alignment horizontal="center" vertical="center"/>
    </xf>
    <xf numFmtId="38" fontId="12" fillId="2" borderId="1" xfId="1" applyFont="1" applyFill="1" applyBorder="1" applyAlignment="1">
      <alignment horizontal="center" vertical="center"/>
    </xf>
    <xf numFmtId="38" fontId="12" fillId="2" borderId="14" xfId="1" applyFont="1" applyFill="1" applyBorder="1" applyAlignment="1">
      <alignment horizontal="center" vertical="center"/>
    </xf>
    <xf numFmtId="38" fontId="12" fillId="2" borderId="29" xfId="1" applyFont="1" applyFill="1" applyBorder="1" applyAlignment="1">
      <alignment horizontal="center" vertical="center"/>
    </xf>
    <xf numFmtId="38" fontId="12" fillId="4" borderId="1" xfId="1" applyFont="1" applyFill="1" applyBorder="1" applyAlignment="1">
      <alignment horizontal="center" vertical="center"/>
    </xf>
    <xf numFmtId="38" fontId="12" fillId="4" borderId="14" xfId="1" applyFont="1" applyFill="1" applyBorder="1" applyAlignment="1">
      <alignment horizontal="center" vertical="center"/>
    </xf>
    <xf numFmtId="38" fontId="12" fillId="4" borderId="29" xfId="1" applyFont="1" applyFill="1" applyBorder="1" applyAlignment="1">
      <alignment horizontal="center" vertical="center"/>
    </xf>
    <xf numFmtId="38" fontId="12" fillId="7" borderId="2" xfId="1" applyFont="1" applyFill="1" applyBorder="1" applyAlignment="1">
      <alignment horizontal="center" vertical="center"/>
    </xf>
    <xf numFmtId="38" fontId="12" fillId="7" borderId="13" xfId="1" applyFont="1" applyFill="1" applyBorder="1" applyAlignment="1">
      <alignment horizontal="center" vertical="center"/>
    </xf>
    <xf numFmtId="38" fontId="12" fillId="7" borderId="3" xfId="1" applyFont="1" applyFill="1" applyBorder="1" applyAlignment="1">
      <alignment horizontal="center" vertical="center"/>
    </xf>
    <xf numFmtId="38" fontId="12" fillId="7" borderId="16" xfId="1" applyFont="1" applyFill="1" applyBorder="1" applyAlignment="1">
      <alignment horizontal="center" vertical="center"/>
    </xf>
    <xf numFmtId="38" fontId="12" fillId="7" borderId="6" xfId="1" applyFont="1" applyFill="1" applyBorder="1" applyAlignment="1">
      <alignment horizontal="center" vertical="center"/>
    </xf>
    <xf numFmtId="38" fontId="12" fillId="7" borderId="17" xfId="1" applyFont="1" applyFill="1" applyBorder="1" applyAlignment="1">
      <alignment horizontal="center" vertical="center"/>
    </xf>
    <xf numFmtId="38" fontId="12" fillId="8" borderId="2" xfId="1" applyFont="1" applyFill="1" applyBorder="1" applyAlignment="1">
      <alignment horizontal="center" vertical="center"/>
    </xf>
    <xf numFmtId="38" fontId="12" fillId="8" borderId="13" xfId="1" applyFont="1" applyFill="1" applyBorder="1" applyAlignment="1">
      <alignment horizontal="center" vertical="center"/>
    </xf>
    <xf numFmtId="38" fontId="12" fillId="8" borderId="3" xfId="1" applyFont="1" applyFill="1" applyBorder="1" applyAlignment="1">
      <alignment horizontal="center" vertical="center"/>
    </xf>
    <xf numFmtId="38" fontId="12" fillId="8" borderId="16" xfId="1" applyFont="1" applyFill="1" applyBorder="1" applyAlignment="1">
      <alignment horizontal="center" vertical="center"/>
    </xf>
    <xf numFmtId="38" fontId="12" fillId="8" borderId="6" xfId="1" applyFont="1" applyFill="1" applyBorder="1" applyAlignment="1">
      <alignment horizontal="center" vertical="center"/>
    </xf>
    <xf numFmtId="38" fontId="12" fillId="8" borderId="17" xfId="1" applyFont="1" applyFill="1" applyBorder="1" applyAlignment="1">
      <alignment horizontal="center" vertical="center"/>
    </xf>
    <xf numFmtId="38" fontId="12" fillId="9" borderId="1" xfId="1" applyFont="1" applyFill="1" applyBorder="1" applyAlignment="1">
      <alignment horizontal="center" vertical="center"/>
    </xf>
    <xf numFmtId="38" fontId="18" fillId="0" borderId="2" xfId="1" applyFont="1" applyBorder="1" applyAlignment="1">
      <alignment horizontal="center" vertical="center"/>
    </xf>
    <xf numFmtId="38" fontId="18" fillId="0" borderId="3" xfId="1" applyFont="1" applyBorder="1" applyAlignment="1">
      <alignment horizontal="center" vertical="center"/>
    </xf>
    <xf numFmtId="38" fontId="18" fillId="0" borderId="4" xfId="1" applyFont="1" applyBorder="1" applyAlignment="1">
      <alignment horizontal="center" vertical="center"/>
    </xf>
    <xf numFmtId="38" fontId="18" fillId="0" borderId="5" xfId="1" applyFont="1" applyBorder="1" applyAlignment="1">
      <alignment horizontal="center" vertical="center"/>
    </xf>
    <xf numFmtId="38" fontId="18" fillId="0" borderId="16" xfId="1" applyFont="1" applyBorder="1" applyAlignment="1">
      <alignment horizontal="center" vertical="center"/>
    </xf>
    <xf numFmtId="38" fontId="18" fillId="0" borderId="17" xfId="1" applyFont="1" applyBorder="1" applyAlignment="1">
      <alignment horizontal="center" vertical="center"/>
    </xf>
    <xf numFmtId="38" fontId="18" fillId="0" borderId="1" xfId="1" applyFont="1" applyBorder="1" applyAlignment="1">
      <alignment horizontal="center" vertical="center"/>
    </xf>
    <xf numFmtId="38" fontId="37" fillId="0" borderId="73" xfId="1" applyFont="1" applyBorder="1" applyAlignment="1">
      <alignment horizontal="center" vertical="center"/>
    </xf>
    <xf numFmtId="38" fontId="37" fillId="0" borderId="74" xfId="1" applyFont="1" applyBorder="1" applyAlignment="1">
      <alignment horizontal="center" vertical="center"/>
    </xf>
    <xf numFmtId="38" fontId="18" fillId="4" borderId="1" xfId="1" applyFont="1" applyFill="1" applyBorder="1" applyAlignment="1">
      <alignment horizontal="center" vertical="center"/>
    </xf>
    <xf numFmtId="38" fontId="18" fillId="5" borderId="1" xfId="1" applyFont="1" applyFill="1" applyBorder="1" applyAlignment="1">
      <alignment horizontal="center" vertical="center"/>
    </xf>
    <xf numFmtId="38" fontId="18" fillId="13" borderId="2" xfId="1" applyFont="1" applyFill="1" applyBorder="1" applyAlignment="1">
      <alignment horizontal="center" vertical="center"/>
    </xf>
    <xf numFmtId="38" fontId="18" fillId="13" borderId="3" xfId="1" applyFont="1" applyFill="1" applyBorder="1" applyAlignment="1">
      <alignment horizontal="center" vertical="center"/>
    </xf>
    <xf numFmtId="38" fontId="18" fillId="13" borderId="4" xfId="1" applyFont="1" applyFill="1" applyBorder="1" applyAlignment="1">
      <alignment horizontal="center" vertical="center"/>
    </xf>
    <xf numFmtId="38" fontId="18" fillId="13" borderId="5" xfId="1" applyFont="1" applyFill="1" applyBorder="1" applyAlignment="1">
      <alignment horizontal="center" vertical="center"/>
    </xf>
    <xf numFmtId="38" fontId="18" fillId="13" borderId="16" xfId="1" applyFont="1" applyFill="1" applyBorder="1" applyAlignment="1">
      <alignment horizontal="center" vertical="center"/>
    </xf>
    <xf numFmtId="38" fontId="18" fillId="13" borderId="17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24" fillId="0" borderId="0" xfId="1" applyFont="1" applyAlignment="1">
      <alignment horizontal="center" vertical="center"/>
    </xf>
    <xf numFmtId="38" fontId="24" fillId="0" borderId="0" xfId="1" applyFont="1" applyBorder="1" applyAlignment="1">
      <alignment horizontal="center" vertical="center"/>
    </xf>
    <xf numFmtId="38" fontId="25" fillId="0" borderId="1" xfId="1" applyFont="1" applyBorder="1" applyAlignment="1">
      <alignment horizontal="center" vertical="center"/>
    </xf>
    <xf numFmtId="38" fontId="26" fillId="0" borderId="1" xfId="1" applyFont="1" applyBorder="1" applyAlignment="1">
      <alignment horizontal="center" vertical="center"/>
    </xf>
    <xf numFmtId="38" fontId="26" fillId="0" borderId="15" xfId="1" applyFont="1" applyBorder="1" applyAlignment="1">
      <alignment horizontal="center" vertical="center"/>
    </xf>
    <xf numFmtId="38" fontId="12" fillId="5" borderId="14" xfId="1" applyFont="1" applyFill="1" applyBorder="1" applyAlignment="1">
      <alignment horizontal="center" vertical="center"/>
    </xf>
    <xf numFmtId="38" fontId="12" fillId="5" borderId="29" xfId="1" applyFont="1" applyFill="1" applyBorder="1" applyAlignment="1">
      <alignment horizontal="center" vertical="center"/>
    </xf>
    <xf numFmtId="38" fontId="12" fillId="0" borderId="14" xfId="1" applyFont="1" applyBorder="1" applyAlignment="1">
      <alignment horizontal="center" vertical="center"/>
    </xf>
    <xf numFmtId="38" fontId="12" fillId="0" borderId="41" xfId="1" applyFont="1" applyBorder="1" applyAlignment="1">
      <alignment horizontal="center" vertical="center"/>
    </xf>
    <xf numFmtId="38" fontId="12" fillId="0" borderId="29" xfId="1" applyFont="1" applyBorder="1" applyAlignment="1">
      <alignment horizontal="center" vertical="center"/>
    </xf>
    <xf numFmtId="38" fontId="12" fillId="0" borderId="42" xfId="1" applyFont="1" applyBorder="1" applyAlignment="1">
      <alignment horizontal="center" vertical="center"/>
    </xf>
    <xf numFmtId="38" fontId="12" fillId="0" borderId="2" xfId="1" applyFont="1" applyBorder="1" applyAlignment="1">
      <alignment horizontal="center" vertical="center"/>
    </xf>
    <xf numFmtId="38" fontId="12" fillId="0" borderId="3" xfId="1" applyFont="1" applyBorder="1" applyAlignment="1">
      <alignment horizontal="center" vertical="center"/>
    </xf>
    <xf numFmtId="38" fontId="12" fillId="0" borderId="4" xfId="1" applyFont="1" applyBorder="1" applyAlignment="1">
      <alignment horizontal="center" vertical="center"/>
    </xf>
    <xf numFmtId="38" fontId="12" fillId="0" borderId="5" xfId="1" applyFont="1" applyBorder="1" applyAlignment="1">
      <alignment horizontal="center" vertical="center"/>
    </xf>
    <xf numFmtId="38" fontId="12" fillId="0" borderId="26" xfId="1" applyFont="1" applyBorder="1" applyAlignment="1">
      <alignment horizontal="center" vertical="center"/>
    </xf>
    <xf numFmtId="38" fontId="12" fillId="0" borderId="27" xfId="1" applyFont="1" applyBorder="1" applyAlignment="1">
      <alignment horizontal="center" vertical="center"/>
    </xf>
    <xf numFmtId="38" fontId="21" fillId="0" borderId="21" xfId="1" applyFont="1" applyBorder="1" applyAlignment="1">
      <alignment horizontal="center" vertical="center"/>
    </xf>
    <xf numFmtId="38" fontId="21" fillId="0" borderId="24" xfId="1" applyFont="1" applyBorder="1" applyAlignment="1">
      <alignment horizontal="center" vertical="center"/>
    </xf>
    <xf numFmtId="38" fontId="12" fillId="0" borderId="23" xfId="1" applyFont="1" applyBorder="1" applyAlignment="1">
      <alignment horizontal="center" vertical="center"/>
    </xf>
    <xf numFmtId="38" fontId="22" fillId="0" borderId="1" xfId="1" applyFont="1" applyBorder="1" applyAlignment="1">
      <alignment horizontal="center" vertical="center"/>
    </xf>
    <xf numFmtId="38" fontId="22" fillId="0" borderId="23" xfId="1" applyFont="1" applyBorder="1" applyAlignment="1">
      <alignment horizontal="center" vertical="center"/>
    </xf>
    <xf numFmtId="38" fontId="22" fillId="0" borderId="37" xfId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8" fontId="12" fillId="0" borderId="16" xfId="1" applyFont="1" applyBorder="1" applyAlignment="1">
      <alignment horizontal="center" vertical="center"/>
    </xf>
    <xf numFmtId="38" fontId="12" fillId="0" borderId="17" xfId="1" applyFont="1" applyBorder="1" applyAlignment="1">
      <alignment horizontal="center" vertical="center"/>
    </xf>
    <xf numFmtId="38" fontId="17" fillId="11" borderId="20" xfId="1" applyFont="1" applyFill="1" applyBorder="1" applyAlignment="1">
      <alignment horizontal="center" vertical="center"/>
    </xf>
    <xf numFmtId="38" fontId="7" fillId="3" borderId="18" xfId="1" applyFont="1" applyFill="1" applyBorder="1" applyAlignment="1">
      <alignment horizontal="center" vertical="center"/>
    </xf>
    <xf numFmtId="38" fontId="7" fillId="3" borderId="19" xfId="1" applyFont="1" applyFill="1" applyBorder="1" applyAlignment="1">
      <alignment horizontal="center" vertical="center"/>
    </xf>
    <xf numFmtId="38" fontId="7" fillId="3" borderId="20" xfId="1" applyFont="1" applyFill="1" applyBorder="1" applyAlignment="1">
      <alignment horizontal="center" vertical="center"/>
    </xf>
    <xf numFmtId="38" fontId="7" fillId="3" borderId="1" xfId="1" applyFont="1" applyFill="1" applyBorder="1" applyAlignment="1">
      <alignment horizontal="center" vertical="center"/>
    </xf>
    <xf numFmtId="38" fontId="7" fillId="3" borderId="37" xfId="1" applyFont="1" applyFill="1" applyBorder="1" applyAlignment="1">
      <alignment horizontal="center" vertical="center"/>
    </xf>
    <xf numFmtId="38" fontId="15" fillId="3" borderId="25" xfId="1" applyFont="1" applyFill="1" applyBorder="1" applyAlignment="1">
      <alignment horizontal="center" vertical="center"/>
    </xf>
    <xf numFmtId="38" fontId="15" fillId="3" borderId="21" xfId="1" applyFont="1" applyFill="1" applyBorder="1" applyAlignment="1">
      <alignment horizontal="center" vertical="center"/>
    </xf>
    <xf numFmtId="38" fontId="17" fillId="10" borderId="20" xfId="1" applyFont="1" applyFill="1" applyBorder="1" applyAlignment="1">
      <alignment horizontal="center" vertical="center"/>
    </xf>
    <xf numFmtId="38" fontId="21" fillId="0" borderId="54" xfId="1" applyFont="1" applyBorder="1" applyAlignment="1">
      <alignment horizontal="center" vertical="center"/>
    </xf>
    <xf numFmtId="38" fontId="21" fillId="0" borderId="55" xfId="1" applyFont="1" applyBorder="1" applyAlignment="1">
      <alignment horizontal="center" vertical="center"/>
    </xf>
    <xf numFmtId="38" fontId="21" fillId="0" borderId="56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13" fillId="3" borderId="15" xfId="1" applyFont="1" applyFill="1" applyBorder="1" applyAlignment="1">
      <alignment horizontal="center" vertical="center"/>
    </xf>
    <xf numFmtId="38" fontId="13" fillId="3" borderId="1" xfId="1" applyFont="1" applyFill="1" applyBorder="1" applyAlignment="1">
      <alignment horizontal="center" vertical="center"/>
    </xf>
    <xf numFmtId="38" fontId="16" fillId="3" borderId="15" xfId="1" applyFont="1" applyFill="1" applyBorder="1" applyAlignment="1">
      <alignment horizontal="center" vertical="center"/>
    </xf>
    <xf numFmtId="38" fontId="16" fillId="3" borderId="1" xfId="1" applyFont="1" applyFill="1" applyBorder="1" applyAlignment="1">
      <alignment horizontal="center" vertical="center"/>
    </xf>
    <xf numFmtId="0" fontId="0" fillId="3" borderId="68" xfId="0" applyFill="1" applyBorder="1" applyAlignment="1">
      <alignment horizontal="center" vertical="center"/>
    </xf>
    <xf numFmtId="38" fontId="34" fillId="15" borderId="74" xfId="1" applyFont="1" applyFill="1" applyBorder="1" applyAlignment="1">
      <alignment horizontal="center" vertical="center"/>
    </xf>
    <xf numFmtId="38" fontId="34" fillId="9" borderId="81" xfId="1" applyFont="1" applyFill="1" applyBorder="1" applyAlignment="1">
      <alignment horizontal="center" vertical="center"/>
    </xf>
    <xf numFmtId="38" fontId="34" fillId="9" borderId="84" xfId="1" applyFont="1" applyFill="1" applyBorder="1" applyAlignment="1">
      <alignment horizontal="center" vertical="center"/>
    </xf>
    <xf numFmtId="38" fontId="34" fillId="9" borderId="87" xfId="1" applyFont="1" applyFill="1" applyBorder="1" applyAlignment="1">
      <alignment horizontal="center" vertical="center"/>
    </xf>
    <xf numFmtId="38" fontId="34" fillId="9" borderId="82" xfId="1" applyFont="1" applyFill="1" applyBorder="1" applyAlignment="1">
      <alignment horizontal="center" vertical="center"/>
    </xf>
    <xf numFmtId="38" fontId="34" fillId="9" borderId="85" xfId="1" applyFont="1" applyFill="1" applyBorder="1" applyAlignment="1">
      <alignment horizontal="center" vertical="center"/>
    </xf>
    <xf numFmtId="38" fontId="34" fillId="9" borderId="88" xfId="1" applyFont="1" applyFill="1" applyBorder="1" applyAlignment="1">
      <alignment horizontal="center" vertical="center"/>
    </xf>
    <xf numFmtId="38" fontId="34" fillId="16" borderId="80" xfId="1" applyFont="1" applyFill="1" applyBorder="1" applyAlignment="1">
      <alignment horizontal="center" vertical="center"/>
    </xf>
    <xf numFmtId="38" fontId="34" fillId="16" borderId="83" xfId="1" applyFont="1" applyFill="1" applyBorder="1" applyAlignment="1">
      <alignment horizontal="center" vertical="center"/>
    </xf>
    <xf numFmtId="38" fontId="34" fillId="16" borderId="86" xfId="1" applyFont="1" applyFill="1" applyBorder="1" applyAlignment="1">
      <alignment horizontal="center" vertical="center"/>
    </xf>
    <xf numFmtId="38" fontId="33" fillId="7" borderId="61" xfId="1" applyFont="1" applyFill="1" applyBorder="1" applyAlignment="1">
      <alignment horizontal="center" vertical="center"/>
    </xf>
    <xf numFmtId="38" fontId="33" fillId="7" borderId="62" xfId="1" applyFont="1" applyFill="1" applyBorder="1" applyAlignment="1">
      <alignment horizontal="center" vertical="center"/>
    </xf>
    <xf numFmtId="38" fontId="33" fillId="7" borderId="63" xfId="1" applyFont="1" applyFill="1" applyBorder="1" applyAlignment="1">
      <alignment horizontal="center" vertical="center"/>
    </xf>
    <xf numFmtId="38" fontId="33" fillId="7" borderId="32" xfId="1" applyFont="1" applyFill="1" applyBorder="1" applyAlignment="1">
      <alignment horizontal="center" vertical="center"/>
    </xf>
    <xf numFmtId="38" fontId="33" fillId="7" borderId="33" xfId="1" applyFont="1" applyFill="1" applyBorder="1" applyAlignment="1">
      <alignment horizontal="center" vertical="center"/>
    </xf>
    <xf numFmtId="38" fontId="33" fillId="7" borderId="38" xfId="1" applyFont="1" applyFill="1" applyBorder="1" applyAlignment="1">
      <alignment horizontal="center" vertical="center"/>
    </xf>
    <xf numFmtId="10" fontId="34" fillId="7" borderId="30" xfId="1" applyNumberFormat="1" applyFont="1" applyFill="1" applyBorder="1" applyAlignment="1">
      <alignment horizontal="center" vertical="center"/>
    </xf>
    <xf numFmtId="10" fontId="34" fillId="7" borderId="39" xfId="1" applyNumberFormat="1" applyFont="1" applyFill="1" applyBorder="1" applyAlignment="1">
      <alignment horizontal="center" vertical="center"/>
    </xf>
    <xf numFmtId="38" fontId="35" fillId="8" borderId="30" xfId="1" applyFont="1" applyFill="1" applyBorder="1" applyAlignment="1">
      <alignment horizontal="center" vertical="center"/>
    </xf>
    <xf numFmtId="38" fontId="35" fillId="8" borderId="39" xfId="1" applyFont="1" applyFill="1" applyBorder="1" applyAlignment="1">
      <alignment horizontal="center" vertical="center"/>
    </xf>
    <xf numFmtId="38" fontId="34" fillId="8" borderId="30" xfId="1" applyFont="1" applyFill="1" applyBorder="1" applyAlignment="1">
      <alignment horizontal="center" vertical="center"/>
    </xf>
    <xf numFmtId="38" fontId="34" fillId="8" borderId="39" xfId="1" applyFont="1" applyFill="1" applyBorder="1" applyAlignment="1">
      <alignment horizontal="center" vertical="center"/>
    </xf>
    <xf numFmtId="38" fontId="35" fillId="8" borderId="59" xfId="1" applyFont="1" applyFill="1" applyBorder="1" applyAlignment="1">
      <alignment horizontal="center" vertical="center"/>
    </xf>
    <xf numFmtId="38" fontId="35" fillId="8" borderId="0" xfId="1" applyFont="1" applyFill="1" applyBorder="1" applyAlignment="1">
      <alignment horizontal="center" vertical="center"/>
    </xf>
    <xf numFmtId="38" fontId="35" fillId="8" borderId="60" xfId="1" applyFont="1" applyFill="1" applyBorder="1" applyAlignment="1">
      <alignment horizontal="center" vertical="center"/>
    </xf>
    <xf numFmtId="38" fontId="33" fillId="9" borderId="61" xfId="1" applyFont="1" applyFill="1" applyBorder="1" applyAlignment="1">
      <alignment horizontal="center" vertical="center"/>
    </xf>
    <xf numFmtId="38" fontId="33" fillId="9" borderId="62" xfId="1" applyFont="1" applyFill="1" applyBorder="1" applyAlignment="1">
      <alignment horizontal="center" vertical="center"/>
    </xf>
    <xf numFmtId="38" fontId="33" fillId="9" borderId="63" xfId="1" applyFont="1" applyFill="1" applyBorder="1" applyAlignment="1">
      <alignment horizontal="center" vertical="center"/>
    </xf>
    <xf numFmtId="38" fontId="35" fillId="3" borderId="61" xfId="1" applyFont="1" applyFill="1" applyBorder="1" applyAlignment="1">
      <alignment horizontal="center" vertical="center"/>
    </xf>
    <xf numFmtId="38" fontId="17" fillId="12" borderId="20" xfId="1" applyFont="1" applyFill="1" applyBorder="1" applyAlignment="1">
      <alignment horizontal="center" vertical="center"/>
    </xf>
    <xf numFmtId="38" fontId="17" fillId="12" borderId="22" xfId="1" applyFont="1" applyFill="1" applyBorder="1" applyAlignment="1">
      <alignment horizontal="center" vertical="center"/>
    </xf>
    <xf numFmtId="38" fontId="4" fillId="0" borderId="23" xfId="1" applyFont="1" applyBorder="1" applyAlignment="1">
      <alignment horizontal="center" vertical="center"/>
    </xf>
    <xf numFmtId="0" fontId="36" fillId="0" borderId="72" xfId="0" applyFont="1" applyBorder="1" applyAlignment="1">
      <alignment horizontal="center" vertical="center"/>
    </xf>
    <xf numFmtId="0" fontId="36" fillId="0" borderId="73" xfId="0" applyFont="1" applyBorder="1" applyAlignment="1">
      <alignment horizontal="center" vertical="center"/>
    </xf>
    <xf numFmtId="0" fontId="36" fillId="0" borderId="74" xfId="0" applyFont="1" applyBorder="1" applyAlignment="1">
      <alignment horizontal="center" vertical="center"/>
    </xf>
    <xf numFmtId="38" fontId="37" fillId="0" borderId="72" xfId="1" applyFont="1" applyBorder="1" applyAlignment="1">
      <alignment horizontal="center" vertical="center"/>
    </xf>
    <xf numFmtId="38" fontId="18" fillId="2" borderId="1" xfId="1" applyFont="1" applyFill="1" applyBorder="1" applyAlignment="1">
      <alignment horizontal="center" vertical="center"/>
    </xf>
    <xf numFmtId="38" fontId="34" fillId="3" borderId="66" xfId="1" applyFont="1" applyFill="1" applyBorder="1" applyAlignment="1">
      <alignment horizontal="center" vertical="center"/>
    </xf>
    <xf numFmtId="38" fontId="33" fillId="9" borderId="30" xfId="1" applyFont="1" applyFill="1" applyBorder="1" applyAlignment="1">
      <alignment horizontal="center" vertical="center"/>
    </xf>
    <xf numFmtId="38" fontId="33" fillId="9" borderId="39" xfId="1" applyFont="1" applyFill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38" fontId="37" fillId="0" borderId="30" xfId="1" applyFont="1" applyBorder="1" applyAlignment="1">
      <alignment horizontal="center" vertical="center"/>
    </xf>
    <xf numFmtId="38" fontId="37" fillId="0" borderId="1" xfId="1" applyFont="1" applyBorder="1" applyAlignment="1">
      <alignment horizontal="center" vertical="center"/>
    </xf>
    <xf numFmtId="38" fontId="37" fillId="0" borderId="31" xfId="1" applyFont="1" applyBorder="1" applyAlignment="1">
      <alignment horizontal="center" vertical="center"/>
    </xf>
    <xf numFmtId="38" fontId="37" fillId="0" borderId="34" xfId="1" applyFont="1" applyBorder="1" applyAlignment="1">
      <alignment horizontal="center" vertical="center"/>
    </xf>
    <xf numFmtId="38" fontId="37" fillId="0" borderId="39" xfId="1" applyFont="1" applyBorder="1" applyAlignment="1">
      <alignment horizontal="center" vertical="center"/>
    </xf>
    <xf numFmtId="38" fontId="37" fillId="0" borderId="40" xfId="1" applyFont="1" applyBorder="1" applyAlignment="1">
      <alignment horizontal="center" vertical="center"/>
    </xf>
    <xf numFmtId="38" fontId="34" fillId="9" borderId="30" xfId="1" applyFont="1" applyFill="1" applyBorder="1" applyAlignment="1">
      <alignment horizontal="center" vertical="center"/>
    </xf>
    <xf numFmtId="38" fontId="34" fillId="9" borderId="39" xfId="1" applyFont="1" applyFill="1" applyBorder="1" applyAlignment="1">
      <alignment horizontal="center" vertical="center"/>
    </xf>
    <xf numFmtId="38" fontId="35" fillId="3" borderId="30" xfId="1" applyFont="1" applyFill="1" applyBorder="1" applyAlignment="1">
      <alignment horizontal="center" vertical="center"/>
    </xf>
    <xf numFmtId="38" fontId="35" fillId="3" borderId="1" xfId="1" applyFont="1" applyFill="1" applyBorder="1" applyAlignment="1">
      <alignment horizontal="center" vertical="center"/>
    </xf>
    <xf numFmtId="38" fontId="35" fillId="3" borderId="39" xfId="1" applyFont="1" applyFill="1" applyBorder="1" applyAlignment="1">
      <alignment horizontal="center" vertical="center"/>
    </xf>
    <xf numFmtId="38" fontId="35" fillId="3" borderId="43" xfId="1" applyFont="1" applyFill="1" applyBorder="1" applyAlignment="1">
      <alignment horizontal="center" vertical="center"/>
    </xf>
    <xf numFmtId="38" fontId="35" fillId="3" borderId="12" xfId="1" applyFont="1" applyFill="1" applyBorder="1" applyAlignment="1">
      <alignment horizontal="center" vertical="center"/>
    </xf>
    <xf numFmtId="38" fontId="35" fillId="3" borderId="14" xfId="1" applyFont="1" applyFill="1" applyBorder="1" applyAlignment="1">
      <alignment horizontal="center" vertical="center"/>
    </xf>
    <xf numFmtId="38" fontId="35" fillId="3" borderId="35" xfId="1" applyFont="1" applyFill="1" applyBorder="1" applyAlignment="1">
      <alignment horizontal="center" vertical="center"/>
    </xf>
    <xf numFmtId="38" fontId="34" fillId="3" borderId="30" xfId="1" applyFont="1" applyFill="1" applyBorder="1" applyAlignment="1">
      <alignment horizontal="center" vertical="center"/>
    </xf>
    <xf numFmtId="38" fontId="34" fillId="3" borderId="1" xfId="1" applyFont="1" applyFill="1" applyBorder="1" applyAlignment="1">
      <alignment horizontal="center" vertical="center"/>
    </xf>
    <xf numFmtId="38" fontId="34" fillId="3" borderId="39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66"/>
      <color rgb="FF009999"/>
      <color rgb="FF99CC00"/>
      <color rgb="FFF4A6DE"/>
      <color rgb="FF00CCFF"/>
      <color rgb="FF81EF9B"/>
      <color rgb="FF66FF33"/>
      <color rgb="FFCCFF66"/>
      <color rgb="FFFF9966"/>
      <color rgb="FFFB57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D117"/>
  <sheetViews>
    <sheetView tabSelected="1" view="pageBreakPreview" zoomScale="40" zoomScaleNormal="100" zoomScaleSheetLayoutView="40" zoomScalePageLayoutView="40" workbookViewId="0">
      <selection activeCell="J9" sqref="J9:J11"/>
    </sheetView>
  </sheetViews>
  <sheetFormatPr defaultRowHeight="18.75" x14ac:dyDescent="0.15"/>
  <cols>
    <col min="1" max="1" width="18.25" style="1" customWidth="1"/>
    <col min="2" max="20" width="14.625" style="1" customWidth="1"/>
    <col min="21" max="26" width="14.625" style="7" customWidth="1"/>
    <col min="27" max="29" width="14.625" style="18" customWidth="1"/>
    <col min="30" max="32" width="14.625" style="23" customWidth="1"/>
    <col min="33" max="33" width="14.625" style="18" customWidth="1"/>
    <col min="34" max="34" width="14.625" style="19" customWidth="1"/>
    <col min="35" max="35" width="9.375" style="19" customWidth="1"/>
    <col min="36" max="36" width="11.625" style="19" customWidth="1"/>
    <col min="37" max="38" width="9.625" style="19" customWidth="1"/>
    <col min="39" max="39" width="11.625" style="19" customWidth="1"/>
    <col min="40" max="41" width="8.375" style="19" customWidth="1"/>
    <col min="42" max="42" width="12.5" style="19" customWidth="1"/>
    <col min="43" max="43" width="12.25" style="19" customWidth="1"/>
    <col min="44" max="44" width="12.125" style="19" customWidth="1"/>
    <col min="45" max="45" width="12.875" style="19" customWidth="1"/>
    <col min="46" max="46" width="15.375" style="19" customWidth="1"/>
    <col min="47" max="47" width="10.625" style="19" customWidth="1"/>
    <col min="48" max="56" width="9" style="19"/>
    <col min="57" max="57" width="20.875" style="1" customWidth="1"/>
    <col min="58" max="16384" width="9" style="1"/>
  </cols>
  <sheetData>
    <row r="1" spans="1:56" ht="62.25" customHeight="1" x14ac:dyDescent="0.15">
      <c r="B1" s="41" t="s">
        <v>77</v>
      </c>
      <c r="O1" s="38" t="s">
        <v>127</v>
      </c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ht="36.75" customHeight="1" thickBot="1" x14ac:dyDescent="0.2">
      <c r="B2" s="49"/>
      <c r="C2" s="49"/>
      <c r="D2" s="49"/>
      <c r="E2" s="187" t="s">
        <v>37</v>
      </c>
      <c r="F2" s="187"/>
      <c r="G2" s="83" t="s">
        <v>155</v>
      </c>
      <c r="H2" s="82"/>
      <c r="I2" s="56"/>
      <c r="J2" s="16"/>
      <c r="K2" s="16"/>
      <c r="L2" s="16"/>
      <c r="M2" s="16"/>
      <c r="N2" s="16"/>
      <c r="U2" s="1"/>
      <c r="V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1:56" ht="27.75" customHeight="1" x14ac:dyDescent="0.15">
      <c r="A3" s="58" t="s">
        <v>55</v>
      </c>
      <c r="B3" s="59" t="s">
        <v>56</v>
      </c>
      <c r="C3" s="188" t="s">
        <v>57</v>
      </c>
      <c r="D3" s="188"/>
      <c r="E3" s="189" t="s">
        <v>58</v>
      </c>
      <c r="F3" s="189"/>
      <c r="G3" s="79" t="s">
        <v>59</v>
      </c>
      <c r="H3" s="190" t="s">
        <v>60</v>
      </c>
      <c r="I3" s="190"/>
      <c r="J3" s="60" t="s">
        <v>117</v>
      </c>
      <c r="K3" s="63" t="s">
        <v>122</v>
      </c>
      <c r="L3" s="63" t="s">
        <v>144</v>
      </c>
      <c r="M3" s="84" t="s">
        <v>161</v>
      </c>
      <c r="N3" s="64"/>
      <c r="O3" s="218" t="s">
        <v>162</v>
      </c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71"/>
      <c r="AF3" s="71"/>
      <c r="AG3" s="71"/>
      <c r="AH3" s="69"/>
      <c r="AI3" s="69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56" ht="27.75" customHeight="1" x14ac:dyDescent="0.15">
      <c r="A4" s="217" t="s">
        <v>41</v>
      </c>
      <c r="B4" s="242" t="s">
        <v>21</v>
      </c>
      <c r="C4" s="170" t="s">
        <v>9</v>
      </c>
      <c r="D4" s="254" t="s">
        <v>40</v>
      </c>
      <c r="E4" s="195" t="s">
        <v>26</v>
      </c>
      <c r="F4" s="195" t="s">
        <v>39</v>
      </c>
      <c r="G4" s="156" t="s">
        <v>128</v>
      </c>
      <c r="H4" s="127" t="s">
        <v>4</v>
      </c>
      <c r="I4" s="127"/>
      <c r="J4" s="127" t="s">
        <v>6</v>
      </c>
      <c r="K4" s="171" t="s">
        <v>119</v>
      </c>
      <c r="L4" s="216" t="s">
        <v>120</v>
      </c>
      <c r="M4" s="86" t="s">
        <v>160</v>
      </c>
      <c r="N4" s="229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71"/>
      <c r="AF4" s="71"/>
      <c r="AG4" s="71"/>
      <c r="AH4" s="69"/>
      <c r="AI4" s="69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ht="26.25" customHeight="1" x14ac:dyDescent="0.15">
      <c r="A5" s="217"/>
      <c r="B5" s="242"/>
      <c r="C5" s="170"/>
      <c r="D5" s="254"/>
      <c r="E5" s="195"/>
      <c r="F5" s="195"/>
      <c r="G5" s="156"/>
      <c r="H5" s="127"/>
      <c r="I5" s="127"/>
      <c r="J5" s="127"/>
      <c r="K5" s="172"/>
      <c r="L5" s="216"/>
      <c r="M5" s="86"/>
      <c r="N5" s="229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71"/>
      <c r="AF5" s="71"/>
      <c r="AG5" s="71"/>
      <c r="AH5" s="69"/>
      <c r="AI5" s="69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1:56" ht="21" customHeight="1" x14ac:dyDescent="0.15">
      <c r="A6" s="61" t="s">
        <v>14</v>
      </c>
      <c r="B6" s="170" t="s">
        <v>89</v>
      </c>
      <c r="C6" s="170" t="s">
        <v>118</v>
      </c>
      <c r="D6" s="127">
        <v>12</v>
      </c>
      <c r="E6" s="181"/>
      <c r="F6" s="181"/>
      <c r="G6" s="157"/>
      <c r="H6" s="127">
        <v>1400000</v>
      </c>
      <c r="I6" s="127"/>
      <c r="J6" s="170" t="s">
        <v>118</v>
      </c>
      <c r="K6" s="173"/>
      <c r="L6" s="173" t="s">
        <v>89</v>
      </c>
      <c r="M6" s="227" t="str">
        <f>IF(AND(E6="○",G6="○"),"NG","OK")</f>
        <v>OK</v>
      </c>
      <c r="N6" s="87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71"/>
      <c r="AF6" s="71"/>
      <c r="AG6" s="71"/>
      <c r="AH6" s="69"/>
      <c r="AI6" s="69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1:56" ht="21" customHeight="1" x14ac:dyDescent="0.15">
      <c r="A7" s="186"/>
      <c r="B7" s="170"/>
      <c r="C7" s="170"/>
      <c r="D7" s="127"/>
      <c r="E7" s="182"/>
      <c r="F7" s="182"/>
      <c r="G7" s="158"/>
      <c r="H7" s="127"/>
      <c r="I7" s="127"/>
      <c r="J7" s="170"/>
      <c r="K7" s="174"/>
      <c r="L7" s="174"/>
      <c r="M7" s="227"/>
      <c r="N7" s="87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71"/>
      <c r="AF7" s="71"/>
      <c r="AG7" s="71"/>
      <c r="AH7" s="69"/>
      <c r="AI7" s="69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1:56" ht="21" customHeight="1" x14ac:dyDescent="0.15">
      <c r="A8" s="186"/>
      <c r="B8" s="170"/>
      <c r="C8" s="170"/>
      <c r="D8" s="127"/>
      <c r="E8" s="183"/>
      <c r="F8" s="183"/>
      <c r="G8" s="159"/>
      <c r="H8" s="127"/>
      <c r="I8" s="127"/>
      <c r="J8" s="170"/>
      <c r="K8" s="175"/>
      <c r="L8" s="175"/>
      <c r="M8" s="227"/>
      <c r="N8" s="87"/>
      <c r="O8" s="218"/>
      <c r="P8" s="218"/>
      <c r="Q8" s="218"/>
      <c r="R8" s="218"/>
      <c r="S8" s="218"/>
      <c r="T8" s="218"/>
      <c r="U8" s="218"/>
      <c r="V8" s="218"/>
      <c r="W8" s="218"/>
      <c r="X8" s="218"/>
      <c r="Y8" s="218"/>
      <c r="Z8" s="218"/>
      <c r="AA8" s="218"/>
      <c r="AB8" s="218"/>
      <c r="AC8" s="218"/>
      <c r="AD8" s="218"/>
      <c r="AE8" s="71"/>
      <c r="AF8" s="71"/>
      <c r="AG8" s="71"/>
      <c r="AH8" s="69"/>
      <c r="AI8" s="69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1:56" ht="21" customHeight="1" x14ac:dyDescent="0.15">
      <c r="A9" s="186"/>
      <c r="B9" s="191"/>
      <c r="C9" s="170" t="s">
        <v>118</v>
      </c>
      <c r="D9" s="127">
        <v>12</v>
      </c>
      <c r="E9" s="181" t="s">
        <v>118</v>
      </c>
      <c r="F9" s="181">
        <v>12</v>
      </c>
      <c r="G9" s="157"/>
      <c r="H9" s="127">
        <v>0</v>
      </c>
      <c r="I9" s="127"/>
      <c r="J9" s="170"/>
      <c r="K9" s="173"/>
      <c r="L9" s="173"/>
      <c r="M9" s="227" t="str">
        <f t="shared" ref="M9:M26" si="0">IF(AND(E9="○",G9="○"),"NG","OK")</f>
        <v>OK</v>
      </c>
      <c r="N9" s="87"/>
      <c r="O9" s="218"/>
      <c r="P9" s="218"/>
      <c r="Q9" s="218"/>
      <c r="R9" s="218"/>
      <c r="S9" s="218"/>
      <c r="T9" s="218"/>
      <c r="U9" s="218"/>
      <c r="V9" s="218"/>
      <c r="W9" s="218"/>
      <c r="X9" s="218"/>
      <c r="Y9" s="218"/>
      <c r="Z9" s="218"/>
      <c r="AA9" s="218"/>
      <c r="AB9" s="218"/>
      <c r="AC9" s="218"/>
      <c r="AD9" s="218"/>
      <c r="AE9" s="71"/>
      <c r="AF9" s="71"/>
      <c r="AG9" s="71"/>
      <c r="AH9" s="69"/>
      <c r="AI9" s="69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1:56" ht="21" customHeight="1" x14ac:dyDescent="0.15">
      <c r="A10" s="186"/>
      <c r="B10" s="192"/>
      <c r="C10" s="170"/>
      <c r="D10" s="127"/>
      <c r="E10" s="182"/>
      <c r="F10" s="182"/>
      <c r="G10" s="158"/>
      <c r="H10" s="127"/>
      <c r="I10" s="127"/>
      <c r="J10" s="170"/>
      <c r="K10" s="174"/>
      <c r="L10" s="174"/>
      <c r="M10" s="227"/>
      <c r="N10" s="87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218"/>
      <c r="AA10" s="218"/>
      <c r="AB10" s="218"/>
      <c r="AC10" s="218"/>
      <c r="AD10" s="218"/>
      <c r="AE10" s="71"/>
      <c r="AF10" s="71"/>
      <c r="AG10" s="71"/>
      <c r="AH10" s="69"/>
      <c r="AI10" s="69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</row>
    <row r="11" spans="1:56" ht="21" customHeight="1" x14ac:dyDescent="0.15">
      <c r="A11" s="186"/>
      <c r="B11" s="192"/>
      <c r="C11" s="170"/>
      <c r="D11" s="127"/>
      <c r="E11" s="183"/>
      <c r="F11" s="183"/>
      <c r="G11" s="159"/>
      <c r="H11" s="127"/>
      <c r="I11" s="127"/>
      <c r="J11" s="170"/>
      <c r="K11" s="175"/>
      <c r="L11" s="175"/>
      <c r="M11" s="227"/>
      <c r="N11" s="87"/>
      <c r="O11" s="218"/>
      <c r="P11" s="218"/>
      <c r="Q11" s="218"/>
      <c r="R11" s="218"/>
      <c r="S11" s="218"/>
      <c r="T11" s="218"/>
      <c r="U11" s="218"/>
      <c r="V11" s="218"/>
      <c r="W11" s="218"/>
      <c r="X11" s="218"/>
      <c r="Y11" s="218"/>
      <c r="Z11" s="218"/>
      <c r="AA11" s="218"/>
      <c r="AB11" s="218"/>
      <c r="AC11" s="218"/>
      <c r="AD11" s="218"/>
      <c r="AE11" s="71"/>
      <c r="AF11" s="71"/>
      <c r="AG11" s="71"/>
      <c r="AH11" s="69"/>
      <c r="AI11" s="69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</row>
    <row r="12" spans="1:56" ht="21" customHeight="1" x14ac:dyDescent="0.15">
      <c r="A12" s="186"/>
      <c r="B12" s="192"/>
      <c r="C12" s="170"/>
      <c r="D12" s="127"/>
      <c r="E12" s="184"/>
      <c r="F12" s="184"/>
      <c r="G12" s="160"/>
      <c r="H12" s="127"/>
      <c r="I12" s="127"/>
      <c r="J12" s="170"/>
      <c r="K12" s="173"/>
      <c r="L12" s="173"/>
      <c r="M12" s="227" t="str">
        <f t="shared" ref="M12:M26" si="1">IF(AND(E12="○",G12="○"),"NG","OK")</f>
        <v>OK</v>
      </c>
      <c r="N12" s="87"/>
      <c r="O12" s="218"/>
      <c r="P12" s="218"/>
      <c r="Q12" s="218"/>
      <c r="R12" s="218"/>
      <c r="S12" s="218"/>
      <c r="T12" s="218"/>
      <c r="U12" s="218"/>
      <c r="V12" s="218"/>
      <c r="W12" s="218"/>
      <c r="X12" s="218"/>
      <c r="Y12" s="218"/>
      <c r="Z12" s="218"/>
      <c r="AA12" s="218"/>
      <c r="AB12" s="218"/>
      <c r="AC12" s="218"/>
      <c r="AD12" s="218"/>
      <c r="AE12" s="71"/>
      <c r="AF12" s="71"/>
      <c r="AG12" s="71"/>
      <c r="AH12" s="69"/>
      <c r="AI12" s="69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</row>
    <row r="13" spans="1:56" ht="21" customHeight="1" x14ac:dyDescent="0.15">
      <c r="A13" s="186"/>
      <c r="B13" s="192"/>
      <c r="C13" s="170"/>
      <c r="D13" s="127"/>
      <c r="E13" s="184"/>
      <c r="F13" s="184"/>
      <c r="G13" s="160"/>
      <c r="H13" s="127"/>
      <c r="I13" s="127"/>
      <c r="J13" s="170"/>
      <c r="K13" s="174"/>
      <c r="L13" s="174"/>
      <c r="M13" s="227"/>
      <c r="N13" s="87"/>
      <c r="O13" s="218"/>
      <c r="P13" s="218"/>
      <c r="Q13" s="218"/>
      <c r="R13" s="218"/>
      <c r="S13" s="218"/>
      <c r="T13" s="218"/>
      <c r="U13" s="218"/>
      <c r="V13" s="218"/>
      <c r="W13" s="218"/>
      <c r="X13" s="218"/>
      <c r="Y13" s="218"/>
      <c r="Z13" s="218"/>
      <c r="AA13" s="218"/>
      <c r="AB13" s="218"/>
      <c r="AC13" s="218"/>
      <c r="AD13" s="218"/>
      <c r="AE13" s="71"/>
      <c r="AF13" s="71"/>
      <c r="AG13" s="71"/>
      <c r="AH13" s="69"/>
      <c r="AI13" s="69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</row>
    <row r="14" spans="1:56" ht="21" customHeight="1" x14ac:dyDescent="0.15">
      <c r="A14" s="186"/>
      <c r="B14" s="192"/>
      <c r="C14" s="170"/>
      <c r="D14" s="127"/>
      <c r="E14" s="184"/>
      <c r="F14" s="184"/>
      <c r="G14" s="160"/>
      <c r="H14" s="127"/>
      <c r="I14" s="127"/>
      <c r="J14" s="170"/>
      <c r="K14" s="175"/>
      <c r="L14" s="175"/>
      <c r="M14" s="227"/>
      <c r="N14" s="87"/>
      <c r="O14" s="218"/>
      <c r="P14" s="218"/>
      <c r="Q14" s="218"/>
      <c r="R14" s="218"/>
      <c r="S14" s="218"/>
      <c r="T14" s="218"/>
      <c r="U14" s="218"/>
      <c r="V14" s="218"/>
      <c r="W14" s="218"/>
      <c r="X14" s="218"/>
      <c r="Y14" s="218"/>
      <c r="Z14" s="218"/>
      <c r="AA14" s="218"/>
      <c r="AB14" s="218"/>
      <c r="AC14" s="218"/>
      <c r="AD14" s="218"/>
      <c r="AE14" s="71"/>
      <c r="AF14" s="71"/>
      <c r="AG14" s="71"/>
      <c r="AH14" s="69"/>
      <c r="AI14" s="69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</row>
    <row r="15" spans="1:56" ht="21" customHeight="1" x14ac:dyDescent="0.15">
      <c r="A15" s="186"/>
      <c r="B15" s="192"/>
      <c r="C15" s="170"/>
      <c r="D15" s="127"/>
      <c r="E15" s="184"/>
      <c r="F15" s="184"/>
      <c r="G15" s="160"/>
      <c r="H15" s="127"/>
      <c r="I15" s="127"/>
      <c r="J15" s="170"/>
      <c r="K15" s="173"/>
      <c r="L15" s="173"/>
      <c r="M15" s="227" t="str">
        <f t="shared" ref="M15:M26" si="2">IF(AND(E15="○",G15="○"),"NG","OK")</f>
        <v>OK</v>
      </c>
      <c r="N15" s="87"/>
      <c r="O15" s="218"/>
      <c r="P15" s="218"/>
      <c r="Q15" s="218"/>
      <c r="R15" s="218"/>
      <c r="S15" s="218"/>
      <c r="T15" s="218"/>
      <c r="U15" s="218"/>
      <c r="V15" s="218"/>
      <c r="W15" s="218"/>
      <c r="X15" s="218"/>
      <c r="Y15" s="218"/>
      <c r="Z15" s="218"/>
      <c r="AA15" s="218"/>
      <c r="AB15" s="218"/>
      <c r="AC15" s="218"/>
      <c r="AD15" s="218"/>
      <c r="AE15" s="71"/>
      <c r="AF15" s="71"/>
      <c r="AG15" s="71"/>
      <c r="AH15" s="69"/>
      <c r="AI15" s="69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</row>
    <row r="16" spans="1:56" ht="21" customHeight="1" x14ac:dyDescent="0.15">
      <c r="A16" s="186"/>
      <c r="B16" s="192"/>
      <c r="C16" s="170"/>
      <c r="D16" s="127"/>
      <c r="E16" s="184"/>
      <c r="F16" s="184"/>
      <c r="G16" s="160"/>
      <c r="H16" s="127"/>
      <c r="I16" s="127"/>
      <c r="J16" s="170"/>
      <c r="K16" s="174"/>
      <c r="L16" s="174"/>
      <c r="M16" s="227"/>
      <c r="N16" s="87"/>
      <c r="O16" s="218"/>
      <c r="P16" s="218"/>
      <c r="Q16" s="218"/>
      <c r="R16" s="218"/>
      <c r="S16" s="218"/>
      <c r="T16" s="218"/>
      <c r="U16" s="218"/>
      <c r="V16" s="218"/>
      <c r="W16" s="218"/>
      <c r="X16" s="218"/>
      <c r="Y16" s="218"/>
      <c r="Z16" s="218"/>
      <c r="AA16" s="218"/>
      <c r="AB16" s="218"/>
      <c r="AC16" s="218"/>
      <c r="AD16" s="218"/>
      <c r="AE16" s="71"/>
      <c r="AF16" s="71"/>
      <c r="AG16" s="71"/>
      <c r="AH16" s="69"/>
      <c r="AI16" s="69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</row>
    <row r="17" spans="1:56" ht="21" customHeight="1" x14ac:dyDescent="0.15">
      <c r="A17" s="186"/>
      <c r="B17" s="192"/>
      <c r="C17" s="170"/>
      <c r="D17" s="127"/>
      <c r="E17" s="184"/>
      <c r="F17" s="184"/>
      <c r="G17" s="160"/>
      <c r="H17" s="127"/>
      <c r="I17" s="127"/>
      <c r="J17" s="170"/>
      <c r="K17" s="175"/>
      <c r="L17" s="175"/>
      <c r="M17" s="227"/>
      <c r="N17" s="87"/>
      <c r="O17" s="218"/>
      <c r="P17" s="218"/>
      <c r="Q17" s="218"/>
      <c r="R17" s="218"/>
      <c r="S17" s="218"/>
      <c r="T17" s="218"/>
      <c r="U17" s="218"/>
      <c r="V17" s="218"/>
      <c r="W17" s="218"/>
      <c r="X17" s="218"/>
      <c r="Y17" s="218"/>
      <c r="Z17" s="218"/>
      <c r="AA17" s="218"/>
      <c r="AB17" s="218"/>
      <c r="AC17" s="218"/>
      <c r="AD17" s="218"/>
      <c r="AE17" s="71"/>
      <c r="AF17" s="71"/>
      <c r="AG17" s="71"/>
      <c r="AH17" s="69"/>
      <c r="AI17" s="69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</row>
    <row r="18" spans="1:56" ht="21" customHeight="1" x14ac:dyDescent="0.15">
      <c r="A18" s="217"/>
      <c r="B18" s="192"/>
      <c r="C18" s="170"/>
      <c r="D18" s="127"/>
      <c r="E18" s="184"/>
      <c r="F18" s="184"/>
      <c r="G18" s="160"/>
      <c r="H18" s="127"/>
      <c r="I18" s="127"/>
      <c r="J18" s="170"/>
      <c r="K18" s="173"/>
      <c r="L18" s="173"/>
      <c r="M18" s="227" t="str">
        <f t="shared" ref="M18:M26" si="3">IF(AND(E18="○",G18="○"),"NG","OK")</f>
        <v>OK</v>
      </c>
      <c r="N18" s="87"/>
      <c r="O18" s="218"/>
      <c r="P18" s="218"/>
      <c r="Q18" s="218"/>
      <c r="R18" s="218"/>
      <c r="S18" s="218"/>
      <c r="T18" s="218"/>
      <c r="U18" s="218"/>
      <c r="V18" s="218"/>
      <c r="W18" s="218"/>
      <c r="X18" s="218"/>
      <c r="Y18" s="218"/>
      <c r="Z18" s="218"/>
      <c r="AA18" s="218"/>
      <c r="AB18" s="218"/>
      <c r="AC18" s="218"/>
      <c r="AD18" s="218"/>
      <c r="AE18" s="71"/>
      <c r="AF18" s="71"/>
      <c r="AG18" s="71"/>
      <c r="AH18" s="69"/>
      <c r="AI18" s="69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</row>
    <row r="19" spans="1:56" ht="21" customHeight="1" x14ac:dyDescent="0.15">
      <c r="A19" s="217"/>
      <c r="B19" s="192"/>
      <c r="C19" s="170"/>
      <c r="D19" s="127"/>
      <c r="E19" s="184"/>
      <c r="F19" s="184"/>
      <c r="G19" s="160"/>
      <c r="H19" s="127"/>
      <c r="I19" s="127"/>
      <c r="J19" s="170"/>
      <c r="K19" s="174"/>
      <c r="L19" s="174"/>
      <c r="M19" s="227"/>
      <c r="N19" s="87"/>
      <c r="O19" s="218"/>
      <c r="P19" s="218"/>
      <c r="Q19" s="218"/>
      <c r="R19" s="218"/>
      <c r="S19" s="218"/>
      <c r="T19" s="218"/>
      <c r="U19" s="218"/>
      <c r="V19" s="218"/>
      <c r="W19" s="218"/>
      <c r="X19" s="218"/>
      <c r="Y19" s="218"/>
      <c r="Z19" s="218"/>
      <c r="AA19" s="218"/>
      <c r="AB19" s="218"/>
      <c r="AC19" s="218"/>
      <c r="AD19" s="218"/>
      <c r="AE19" s="71"/>
      <c r="AF19" s="71"/>
      <c r="AG19" s="71"/>
      <c r="AH19" s="69"/>
      <c r="AI19" s="69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</row>
    <row r="20" spans="1:56" ht="21" customHeight="1" x14ac:dyDescent="0.15">
      <c r="A20" s="217"/>
      <c r="B20" s="192"/>
      <c r="C20" s="170"/>
      <c r="D20" s="127"/>
      <c r="E20" s="184"/>
      <c r="F20" s="184"/>
      <c r="G20" s="160"/>
      <c r="H20" s="127"/>
      <c r="I20" s="127"/>
      <c r="J20" s="170"/>
      <c r="K20" s="175"/>
      <c r="L20" s="175"/>
      <c r="M20" s="227"/>
      <c r="N20" s="87"/>
      <c r="O20" s="218"/>
      <c r="P20" s="218"/>
      <c r="Q20" s="218"/>
      <c r="R20" s="218"/>
      <c r="S20" s="218"/>
      <c r="T20" s="218"/>
      <c r="U20" s="218"/>
      <c r="V20" s="218"/>
      <c r="W20" s="218"/>
      <c r="X20" s="218"/>
      <c r="Y20" s="218"/>
      <c r="Z20" s="218"/>
      <c r="AA20" s="218"/>
      <c r="AB20" s="218"/>
      <c r="AC20" s="218"/>
      <c r="AD20" s="218"/>
      <c r="AE20" s="71"/>
      <c r="AF20" s="71"/>
      <c r="AG20" s="71"/>
      <c r="AH20" s="69"/>
      <c r="AI20" s="69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</row>
    <row r="21" spans="1:56" ht="21" customHeight="1" x14ac:dyDescent="0.15">
      <c r="A21" s="217"/>
      <c r="B21" s="192"/>
      <c r="C21" s="170"/>
      <c r="D21" s="127"/>
      <c r="E21" s="184"/>
      <c r="F21" s="184"/>
      <c r="G21" s="160"/>
      <c r="H21" s="127"/>
      <c r="I21" s="127"/>
      <c r="J21" s="170" t="s">
        <v>89</v>
      </c>
      <c r="K21" s="173" t="s">
        <v>89</v>
      </c>
      <c r="L21" s="173" t="s">
        <v>89</v>
      </c>
      <c r="M21" s="227" t="str">
        <f t="shared" ref="M21:M26" si="4">IF(AND(E21="○",G21="○"),"NG","OK")</f>
        <v>OK</v>
      </c>
      <c r="N21" s="87"/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  <c r="AE21" s="71"/>
      <c r="AF21" s="71"/>
      <c r="AG21" s="71"/>
      <c r="AH21" s="69"/>
      <c r="AI21" s="69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</row>
    <row r="22" spans="1:56" ht="21" customHeight="1" x14ac:dyDescent="0.15">
      <c r="A22" s="217"/>
      <c r="B22" s="192"/>
      <c r="C22" s="170"/>
      <c r="D22" s="127"/>
      <c r="E22" s="184"/>
      <c r="F22" s="184"/>
      <c r="G22" s="160"/>
      <c r="H22" s="127"/>
      <c r="I22" s="127"/>
      <c r="J22" s="170"/>
      <c r="K22" s="174"/>
      <c r="L22" s="174"/>
      <c r="M22" s="227"/>
      <c r="N22" s="87"/>
      <c r="O22" s="218"/>
      <c r="P22" s="218"/>
      <c r="Q22" s="218"/>
      <c r="R22" s="218"/>
      <c r="S22" s="218"/>
      <c r="T22" s="218"/>
      <c r="U22" s="218"/>
      <c r="V22" s="218"/>
      <c r="W22" s="218"/>
      <c r="X22" s="218"/>
      <c r="Y22" s="218"/>
      <c r="Z22" s="218"/>
      <c r="AA22" s="218"/>
      <c r="AB22" s="218"/>
      <c r="AC22" s="218"/>
      <c r="AD22" s="218"/>
      <c r="AE22" s="71"/>
      <c r="AF22" s="71"/>
      <c r="AG22" s="71"/>
      <c r="AH22" s="69"/>
      <c r="AI22" s="69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</row>
    <row r="23" spans="1:56" ht="21" customHeight="1" x14ac:dyDescent="0.15">
      <c r="A23" s="217"/>
      <c r="B23" s="192"/>
      <c r="C23" s="170"/>
      <c r="D23" s="127"/>
      <c r="E23" s="184"/>
      <c r="F23" s="184"/>
      <c r="G23" s="160"/>
      <c r="H23" s="127"/>
      <c r="I23" s="127"/>
      <c r="J23" s="170"/>
      <c r="K23" s="175"/>
      <c r="L23" s="175"/>
      <c r="M23" s="227"/>
      <c r="N23" s="87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71"/>
      <c r="AF23" s="71"/>
      <c r="AG23" s="71"/>
      <c r="AH23" s="69"/>
      <c r="AI23" s="69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</row>
    <row r="24" spans="1:56" ht="21" customHeight="1" x14ac:dyDescent="0.15">
      <c r="A24" s="217"/>
      <c r="B24" s="192"/>
      <c r="C24" s="170"/>
      <c r="D24" s="127"/>
      <c r="E24" s="184"/>
      <c r="F24" s="184"/>
      <c r="G24" s="160"/>
      <c r="H24" s="127"/>
      <c r="I24" s="127"/>
      <c r="J24" s="170" t="s">
        <v>89</v>
      </c>
      <c r="K24" s="173" t="s">
        <v>89</v>
      </c>
      <c r="L24" s="173" t="s">
        <v>89</v>
      </c>
      <c r="M24" s="227" t="str">
        <f t="shared" ref="M24:M26" si="5">IF(AND(E24="○",G24="○"),"NG","OK")</f>
        <v>OK</v>
      </c>
      <c r="N24" s="87"/>
      <c r="O24" s="218"/>
      <c r="P24" s="218"/>
      <c r="Q24" s="218"/>
      <c r="R24" s="218"/>
      <c r="S24" s="218"/>
      <c r="T24" s="218"/>
      <c r="U24" s="218"/>
      <c r="V24" s="218"/>
      <c r="W24" s="218"/>
      <c r="X24" s="218"/>
      <c r="Y24" s="218"/>
      <c r="Z24" s="218"/>
      <c r="AA24" s="218"/>
      <c r="AB24" s="218"/>
      <c r="AC24" s="218"/>
      <c r="AD24" s="218"/>
      <c r="AE24" s="71"/>
      <c r="AF24" s="71"/>
      <c r="AG24" s="71"/>
      <c r="AH24" s="69"/>
      <c r="AI24" s="69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</row>
    <row r="25" spans="1:56" ht="21" customHeight="1" x14ac:dyDescent="0.15">
      <c r="A25" s="217"/>
      <c r="B25" s="192"/>
      <c r="C25" s="170"/>
      <c r="D25" s="127"/>
      <c r="E25" s="184"/>
      <c r="F25" s="184"/>
      <c r="G25" s="160"/>
      <c r="H25" s="127"/>
      <c r="I25" s="127"/>
      <c r="J25" s="170"/>
      <c r="K25" s="174"/>
      <c r="L25" s="174"/>
      <c r="M25" s="227"/>
      <c r="N25" s="87"/>
      <c r="O25" s="218"/>
      <c r="P25" s="218"/>
      <c r="Q25" s="218"/>
      <c r="R25" s="218"/>
      <c r="S25" s="218"/>
      <c r="T25" s="218"/>
      <c r="U25" s="218"/>
      <c r="V25" s="218"/>
      <c r="W25" s="218"/>
      <c r="X25" s="218"/>
      <c r="Y25" s="218"/>
      <c r="Z25" s="218"/>
      <c r="AA25" s="218"/>
      <c r="AB25" s="218"/>
      <c r="AC25" s="218"/>
      <c r="AD25" s="218"/>
      <c r="AE25" s="71"/>
      <c r="AF25" s="71"/>
      <c r="AG25" s="71"/>
      <c r="AH25" s="69"/>
      <c r="AI25" s="69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</row>
    <row r="26" spans="1:56" ht="21" customHeight="1" thickBot="1" x14ac:dyDescent="0.2">
      <c r="A26" s="226"/>
      <c r="B26" s="193"/>
      <c r="C26" s="194"/>
      <c r="D26" s="128"/>
      <c r="E26" s="185"/>
      <c r="F26" s="185"/>
      <c r="G26" s="196"/>
      <c r="H26" s="128"/>
      <c r="I26" s="128"/>
      <c r="J26" s="194"/>
      <c r="K26" s="176"/>
      <c r="L26" s="176"/>
      <c r="M26" s="228"/>
      <c r="N26" s="87"/>
      <c r="O26" s="218"/>
      <c r="P26" s="218"/>
      <c r="Q26" s="218"/>
      <c r="R26" s="218"/>
      <c r="S26" s="218"/>
      <c r="T26" s="218"/>
      <c r="U26" s="218"/>
      <c r="V26" s="218"/>
      <c r="W26" s="218"/>
      <c r="X26" s="218"/>
      <c r="Y26" s="218"/>
      <c r="Z26" s="218"/>
      <c r="AA26" s="218"/>
      <c r="AB26" s="218"/>
      <c r="AC26" s="218"/>
      <c r="AD26" s="218"/>
      <c r="AE26" s="71"/>
      <c r="AF26" s="71"/>
      <c r="AG26" s="71"/>
      <c r="AH26" s="69"/>
      <c r="AI26" s="69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</row>
    <row r="27" spans="1:56" s="31" customFormat="1" ht="24" customHeight="1" x14ac:dyDescent="0.15">
      <c r="A27" s="30"/>
      <c r="B27" s="206">
        <f>COUNTIF(B6:B26,"○")</f>
        <v>0</v>
      </c>
      <c r="C27" s="206">
        <f>COUNTIF(C6:C26,"○")</f>
        <v>2</v>
      </c>
      <c r="D27" s="206">
        <f>MAX(D6:D26)</f>
        <v>12</v>
      </c>
      <c r="E27" s="206">
        <f>COUNTIF(E6:E26,"○")</f>
        <v>1</v>
      </c>
      <c r="I27" s="21"/>
      <c r="J27" s="21"/>
      <c r="K27" s="21"/>
      <c r="L27" s="21"/>
      <c r="M27" s="19"/>
      <c r="N27" s="78"/>
      <c r="O27" s="218"/>
      <c r="P27" s="218"/>
      <c r="Q27" s="218"/>
      <c r="R27" s="218"/>
      <c r="S27" s="218"/>
      <c r="T27" s="218"/>
      <c r="U27" s="218"/>
      <c r="V27" s="218"/>
      <c r="W27" s="218"/>
      <c r="X27" s="218"/>
      <c r="Y27" s="218"/>
      <c r="Z27" s="218"/>
      <c r="AA27" s="218"/>
      <c r="AB27" s="218"/>
      <c r="AC27" s="218"/>
      <c r="AD27" s="218"/>
      <c r="AE27" s="71"/>
      <c r="AF27" s="71"/>
      <c r="AG27" s="71"/>
      <c r="AH27" s="71"/>
      <c r="AI27" s="69"/>
    </row>
    <row r="28" spans="1:56" s="31" customFormat="1" ht="24" customHeight="1" x14ac:dyDescent="0.15">
      <c r="A28" s="30"/>
      <c r="B28" s="206"/>
      <c r="C28" s="206"/>
      <c r="D28" s="207"/>
      <c r="E28" s="206"/>
      <c r="I28" s="21"/>
      <c r="J28" s="21"/>
      <c r="K28" s="21"/>
      <c r="L28" s="21"/>
      <c r="M28" s="19"/>
      <c r="N28" s="78"/>
      <c r="O28" s="218"/>
      <c r="P28" s="218"/>
      <c r="Q28" s="218"/>
      <c r="R28" s="218"/>
      <c r="S28" s="218"/>
      <c r="T28" s="218"/>
      <c r="U28" s="218"/>
      <c r="V28" s="218"/>
      <c r="W28" s="218"/>
      <c r="X28" s="218"/>
      <c r="Y28" s="218"/>
      <c r="Z28" s="218"/>
      <c r="AA28" s="218"/>
      <c r="AB28" s="218"/>
      <c r="AC28" s="218"/>
      <c r="AD28" s="218"/>
      <c r="AE28" s="71"/>
      <c r="AF28" s="71"/>
      <c r="AG28" s="71"/>
      <c r="AH28" s="71"/>
      <c r="AI28" s="69"/>
    </row>
    <row r="29" spans="1:56" ht="19.5" customHeight="1" x14ac:dyDescent="0.15">
      <c r="D29" s="208" t="s">
        <v>43</v>
      </c>
      <c r="E29" s="208"/>
      <c r="F29" s="162">
        <f>SUM(修正不可!C5:D31)</f>
        <v>970000</v>
      </c>
      <c r="G29" s="162"/>
      <c r="H29" s="162"/>
      <c r="I29" s="162"/>
      <c r="J29" s="162"/>
      <c r="K29" s="177"/>
      <c r="L29" s="65"/>
      <c r="N29" s="78"/>
      <c r="O29" s="218"/>
      <c r="P29" s="218"/>
      <c r="Q29" s="218"/>
      <c r="R29" s="218"/>
      <c r="S29" s="218"/>
      <c r="T29" s="218"/>
      <c r="U29" s="218"/>
      <c r="V29" s="218"/>
      <c r="W29" s="218"/>
      <c r="X29" s="218"/>
      <c r="Y29" s="218"/>
      <c r="Z29" s="218"/>
      <c r="AA29" s="218"/>
      <c r="AB29" s="218"/>
      <c r="AC29" s="218"/>
      <c r="AD29" s="218"/>
      <c r="AE29" s="71"/>
      <c r="AF29" s="71"/>
      <c r="AG29" s="71"/>
      <c r="AH29" s="71"/>
      <c r="AI29" s="69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</row>
    <row r="30" spans="1:56" ht="31.5" customHeight="1" x14ac:dyDescent="0.15">
      <c r="D30" s="208"/>
      <c r="E30" s="208"/>
      <c r="F30" s="162"/>
      <c r="G30" s="162"/>
      <c r="H30" s="162"/>
      <c r="I30" s="162"/>
      <c r="J30" s="162"/>
      <c r="K30" s="177"/>
      <c r="L30" s="65"/>
      <c r="N30" s="78"/>
      <c r="O30" s="218"/>
      <c r="P30" s="218"/>
      <c r="Q30" s="218"/>
      <c r="R30" s="218"/>
      <c r="S30" s="218"/>
      <c r="T30" s="218"/>
      <c r="U30" s="218"/>
      <c r="V30" s="218"/>
      <c r="W30" s="218"/>
      <c r="X30" s="218"/>
      <c r="Y30" s="218"/>
      <c r="Z30" s="218"/>
      <c r="AA30" s="218"/>
      <c r="AB30" s="218"/>
      <c r="AC30" s="218"/>
      <c r="AD30" s="218"/>
      <c r="AE30" s="71"/>
      <c r="AF30" s="71"/>
      <c r="AG30" s="71"/>
      <c r="AH30" s="71"/>
      <c r="AI30" s="69"/>
      <c r="AJ30" s="18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</row>
    <row r="31" spans="1:56" ht="34.5" customHeight="1" x14ac:dyDescent="0.15">
      <c r="D31" s="64"/>
      <c r="E31" s="64"/>
      <c r="F31" s="65"/>
      <c r="G31" s="65"/>
      <c r="H31" s="65"/>
      <c r="I31" s="65"/>
      <c r="J31" s="65">
        <f>COUNTIF(K6:K26,"○")</f>
        <v>0</v>
      </c>
      <c r="L31" s="65"/>
      <c r="O31" s="218"/>
      <c r="P31" s="218"/>
      <c r="Q31" s="218"/>
      <c r="R31" s="218"/>
      <c r="S31" s="218"/>
      <c r="T31" s="218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H31" s="18"/>
      <c r="AI31" s="18"/>
      <c r="AJ31" s="18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</row>
    <row r="32" spans="1:56" ht="19.5" customHeight="1" x14ac:dyDescent="0.15">
      <c r="A32" s="9"/>
      <c r="B32" s="9"/>
      <c r="C32" s="9"/>
      <c r="D32" s="9"/>
      <c r="F32" s="9"/>
      <c r="G32" s="9"/>
      <c r="H32" s="9"/>
      <c r="I32" s="9"/>
      <c r="J32" s="9"/>
      <c r="K32" s="9"/>
      <c r="L32" s="9"/>
      <c r="M32" s="9"/>
      <c r="N32" s="9"/>
      <c r="O32" s="218"/>
      <c r="P32" s="218"/>
      <c r="Q32" s="218"/>
      <c r="R32" s="218"/>
      <c r="S32" s="218"/>
      <c r="T32" s="218"/>
      <c r="U32" s="218"/>
      <c r="V32" s="218"/>
      <c r="W32" s="218"/>
      <c r="X32" s="218"/>
      <c r="Y32" s="218"/>
      <c r="Z32" s="218"/>
      <c r="AA32" s="218"/>
      <c r="AB32" s="218"/>
      <c r="AC32" s="218"/>
      <c r="AD32" s="218"/>
      <c r="AE32" s="19"/>
      <c r="AF32" s="19"/>
      <c r="AG32" s="19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</row>
    <row r="33" spans="1:56" ht="19.5" customHeight="1" x14ac:dyDescent="0.15">
      <c r="C33" s="202" t="s">
        <v>2</v>
      </c>
      <c r="D33" s="203"/>
      <c r="E33" s="4"/>
      <c r="F33" s="163" t="s">
        <v>45</v>
      </c>
      <c r="G33" s="163"/>
      <c r="H33" s="4"/>
      <c r="I33" s="130" t="s">
        <v>46</v>
      </c>
      <c r="J33" s="130"/>
      <c r="K33" s="11"/>
      <c r="L33" s="98" t="s">
        <v>126</v>
      </c>
      <c r="M33" s="98"/>
      <c r="O33" s="23"/>
      <c r="P33" s="23"/>
      <c r="Q33" s="18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</row>
    <row r="34" spans="1:56" ht="19.5" customHeight="1" x14ac:dyDescent="0.15">
      <c r="C34" s="204"/>
      <c r="D34" s="205"/>
      <c r="E34" s="4"/>
      <c r="F34" s="163"/>
      <c r="G34" s="163"/>
      <c r="H34" s="4"/>
      <c r="I34" s="130"/>
      <c r="J34" s="130"/>
      <c r="K34" s="11"/>
      <c r="L34" s="98"/>
      <c r="M34" s="98"/>
      <c r="O34" s="178" t="s">
        <v>156</v>
      </c>
      <c r="P34" s="180"/>
      <c r="Q34" s="178" t="s">
        <v>157</v>
      </c>
      <c r="R34" s="180"/>
      <c r="S34" s="178" t="s">
        <v>158</v>
      </c>
      <c r="T34" s="180"/>
      <c r="U34" s="178" t="s">
        <v>159</v>
      </c>
      <c r="V34" s="180"/>
      <c r="W34" s="23"/>
      <c r="X34" s="23"/>
      <c r="Y34" s="18"/>
      <c r="Z34" s="19"/>
      <c r="AA34" s="19"/>
      <c r="AB34" s="19"/>
      <c r="AC34" s="19"/>
      <c r="AD34" s="19"/>
      <c r="AE34" s="19"/>
      <c r="AF34" s="19"/>
      <c r="AG34" s="19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</row>
    <row r="35" spans="1:56" ht="25.5" customHeight="1" x14ac:dyDescent="0.15">
      <c r="C35" s="204"/>
      <c r="D35" s="205"/>
      <c r="E35" s="4"/>
      <c r="F35" s="163"/>
      <c r="G35" s="163"/>
      <c r="H35" s="4"/>
      <c r="I35" s="130"/>
      <c r="J35" s="130"/>
      <c r="K35" s="11"/>
      <c r="L35" s="98"/>
      <c r="M35" s="98"/>
      <c r="O35" s="178" t="s">
        <v>48</v>
      </c>
      <c r="P35" s="179"/>
      <c r="Q35" s="179"/>
      <c r="R35" s="179"/>
      <c r="S35" s="179"/>
      <c r="T35" s="179"/>
      <c r="U35" s="179"/>
      <c r="V35" s="180"/>
      <c r="W35" s="1"/>
      <c r="X35" s="1"/>
      <c r="Y35" s="1"/>
      <c r="Z35" s="18"/>
      <c r="AC35" s="23"/>
      <c r="AF35" s="18"/>
      <c r="AG35" s="19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</row>
    <row r="36" spans="1:56" ht="19.5" customHeight="1" x14ac:dyDescent="0.15">
      <c r="A36" s="219" t="s">
        <v>63</v>
      </c>
      <c r="B36" s="220"/>
      <c r="C36" s="221">
        <f>修正不可!F5+修正不可!F9+修正不可!F13+修正不可!F17+修正不可!F21+修正不可!F25+修正不可!F29</f>
        <v>77600</v>
      </c>
      <c r="D36" s="222"/>
      <c r="E36" s="225"/>
      <c r="F36" s="164">
        <f>修正不可!F6+修正不可!F10+修正不可!F14+修正不可!F18+修正不可!F22+修正不可!F26+修正不可!F30</f>
        <v>32010</v>
      </c>
      <c r="G36" s="165"/>
      <c r="H36" s="161"/>
      <c r="I36" s="129">
        <f>修正不可!F7+修正不可!F11+修正不可!F15+修正不可!F19+修正不可!F23+修正不可!K27+修正不可!K31</f>
        <v>0</v>
      </c>
      <c r="J36" s="129"/>
      <c r="K36" s="54"/>
      <c r="L36" s="99">
        <f>修正不可!F8+修正不可!F12+修正不可!F16+修正不可!F20+修正不可!F24+修正不可!K28+修正不可!K32</f>
        <v>2619</v>
      </c>
      <c r="M36" s="99"/>
      <c r="O36" s="94">
        <f>修正不可!O37</f>
        <v>0.08</v>
      </c>
      <c r="P36" s="94"/>
      <c r="Q36" s="94">
        <f>修正不可!P37</f>
        <v>3.3000000000000002E-2</v>
      </c>
      <c r="R36" s="94"/>
      <c r="S36" s="94">
        <f>修正不可!R37</f>
        <v>2.3E-2</v>
      </c>
      <c r="T36" s="94"/>
      <c r="U36" s="94">
        <f>修正不可!T37</f>
        <v>2.7000000000000001E-3</v>
      </c>
      <c r="V36" s="94"/>
      <c r="W36" s="1"/>
      <c r="X36" s="1"/>
      <c r="Y36" s="1"/>
      <c r="Z36" s="18"/>
      <c r="AD36" s="19"/>
      <c r="AE36" s="19"/>
      <c r="AF36" s="19"/>
      <c r="AG36" s="19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</row>
    <row r="37" spans="1:56" ht="19.5" customHeight="1" x14ac:dyDescent="0.15">
      <c r="A37" s="220"/>
      <c r="B37" s="220"/>
      <c r="C37" s="223"/>
      <c r="D37" s="224"/>
      <c r="E37" s="225"/>
      <c r="F37" s="166"/>
      <c r="G37" s="167"/>
      <c r="H37" s="161"/>
      <c r="I37" s="129"/>
      <c r="J37" s="129"/>
      <c r="K37" s="54"/>
      <c r="L37" s="99"/>
      <c r="M37" s="99"/>
      <c r="O37" s="94"/>
      <c r="P37" s="94"/>
      <c r="Q37" s="94"/>
      <c r="R37" s="94"/>
      <c r="S37" s="94"/>
      <c r="T37" s="94"/>
      <c r="U37" s="94"/>
      <c r="V37" s="94"/>
      <c r="W37" s="1"/>
      <c r="X37" s="1"/>
      <c r="Y37" s="1"/>
      <c r="Z37" s="18"/>
      <c r="AD37" s="19"/>
      <c r="AE37" s="19"/>
      <c r="AF37" s="19"/>
      <c r="AG37" s="19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</row>
    <row r="38" spans="1:56" ht="19.5" customHeight="1" x14ac:dyDescent="0.15">
      <c r="A38" s="220"/>
      <c r="B38" s="220"/>
      <c r="C38" s="223"/>
      <c r="D38" s="224"/>
      <c r="E38" s="225"/>
      <c r="F38" s="168"/>
      <c r="G38" s="169"/>
      <c r="H38" s="161"/>
      <c r="I38" s="129"/>
      <c r="J38" s="129"/>
      <c r="K38" s="54"/>
      <c r="L38" s="99"/>
      <c r="M38" s="99"/>
      <c r="O38" s="94"/>
      <c r="P38" s="94"/>
      <c r="Q38" s="94"/>
      <c r="R38" s="94"/>
      <c r="S38" s="94"/>
      <c r="T38" s="94"/>
      <c r="U38" s="94"/>
      <c r="V38" s="94"/>
      <c r="W38" s="1"/>
      <c r="X38" s="1"/>
      <c r="Y38" s="1"/>
      <c r="Z38" s="18"/>
      <c r="AD38" s="19"/>
      <c r="AE38" s="19"/>
      <c r="AF38" s="19"/>
      <c r="AG38" s="19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</row>
    <row r="39" spans="1:56" ht="30.75" customHeight="1" x14ac:dyDescent="0.15">
      <c r="C39" s="197" t="s">
        <v>0</v>
      </c>
      <c r="D39" s="197"/>
      <c r="F39" s="214" t="s">
        <v>0</v>
      </c>
      <c r="G39" s="214"/>
      <c r="I39" s="131" t="s">
        <v>0</v>
      </c>
      <c r="J39" s="131"/>
      <c r="K39" s="55"/>
      <c r="L39" s="112"/>
      <c r="M39" s="112"/>
      <c r="O39" s="91" t="s">
        <v>8</v>
      </c>
      <c r="P39" s="91"/>
      <c r="Q39" s="91"/>
      <c r="R39" s="91"/>
      <c r="S39" s="91"/>
      <c r="T39" s="91"/>
      <c r="U39" s="91"/>
      <c r="V39" s="91"/>
      <c r="W39" s="1"/>
      <c r="X39" s="1"/>
      <c r="Y39" s="1"/>
      <c r="Z39" s="18"/>
      <c r="AD39" s="19"/>
      <c r="AE39" s="19"/>
      <c r="AF39" s="19"/>
      <c r="AG39" s="19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</row>
    <row r="40" spans="1:56" ht="19.5" customHeight="1" x14ac:dyDescent="0.15">
      <c r="A40" s="198" t="s">
        <v>64</v>
      </c>
      <c r="B40" s="199"/>
      <c r="C40" s="200">
        <f>修正不可!K5+修正不可!K9+修正不可!K13+修正不可!K17+修正不可!K21+修正不可!K25+修正不可!K29</f>
        <v>36800</v>
      </c>
      <c r="D40" s="201"/>
      <c r="E40" s="6"/>
      <c r="F40" s="164">
        <f>修正不可!K6+修正不可!K10+修正不可!K14+修正不可!K18+修正不可!K22+修正不可!K26+修正不可!K30</f>
        <v>19200</v>
      </c>
      <c r="G40" s="210"/>
      <c r="H40" s="76"/>
      <c r="I40" s="132">
        <f>修正不可!K7+修正不可!K11+修正不可!K15+修正不可!K19+修正不可!K23+修正不可!K27+修正不可!K31</f>
        <v>12800</v>
      </c>
      <c r="J40" s="133"/>
      <c r="K40" s="54"/>
      <c r="L40" s="100">
        <f>修正不可!K8+修正不可!K12+修正不可!K16+修正不可!K20+修正不可!K24+修正不可!K28+修正不可!K32</f>
        <v>3240</v>
      </c>
      <c r="M40" s="101"/>
      <c r="O40" s="95">
        <f>修正不可!O41</f>
        <v>23000</v>
      </c>
      <c r="P40" s="95"/>
      <c r="Q40" s="95">
        <f>修正不可!P41</f>
        <v>12000</v>
      </c>
      <c r="R40" s="95"/>
      <c r="S40" s="95">
        <f>修正不可!R41</f>
        <v>16000</v>
      </c>
      <c r="T40" s="95"/>
      <c r="U40" s="95">
        <f>修正不可!T41</f>
        <v>2026</v>
      </c>
      <c r="V40" s="95"/>
      <c r="W40" s="1"/>
      <c r="X40" s="1"/>
      <c r="Y40" s="1"/>
      <c r="Z40" s="18"/>
      <c r="AC40" s="23"/>
      <c r="AE40" s="18"/>
      <c r="AF40" s="19"/>
      <c r="AG40" s="19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</row>
    <row r="41" spans="1:56" ht="18.75" customHeight="1" x14ac:dyDescent="0.15">
      <c r="A41" s="199"/>
      <c r="B41" s="199"/>
      <c r="C41" s="201"/>
      <c r="D41" s="201"/>
      <c r="E41" s="2"/>
      <c r="F41" s="166"/>
      <c r="G41" s="211"/>
      <c r="H41" s="2"/>
      <c r="I41" s="134"/>
      <c r="J41" s="135"/>
      <c r="K41" s="54"/>
      <c r="L41" s="102"/>
      <c r="M41" s="103"/>
      <c r="O41" s="95"/>
      <c r="P41" s="95"/>
      <c r="Q41" s="95"/>
      <c r="R41" s="95"/>
      <c r="S41" s="95"/>
      <c r="T41" s="95"/>
      <c r="U41" s="95"/>
      <c r="V41" s="95"/>
      <c r="W41" s="1"/>
      <c r="X41" s="1"/>
      <c r="Y41" s="1"/>
      <c r="Z41" s="18"/>
      <c r="AC41" s="23"/>
      <c r="AE41" s="18"/>
      <c r="AF41" s="19"/>
      <c r="AG41" s="19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</row>
    <row r="42" spans="1:56" ht="18.75" customHeight="1" x14ac:dyDescent="0.15">
      <c r="A42" s="199"/>
      <c r="B42" s="199"/>
      <c r="C42" s="201"/>
      <c r="D42" s="201"/>
      <c r="E42" s="2"/>
      <c r="F42" s="168"/>
      <c r="G42" s="212"/>
      <c r="H42" s="2"/>
      <c r="I42" s="136"/>
      <c r="J42" s="137"/>
      <c r="K42" s="54"/>
      <c r="L42" s="104"/>
      <c r="M42" s="105"/>
      <c r="O42" s="95"/>
      <c r="P42" s="95"/>
      <c r="Q42" s="95"/>
      <c r="R42" s="95"/>
      <c r="S42" s="95"/>
      <c r="T42" s="95"/>
      <c r="U42" s="95"/>
      <c r="V42" s="95"/>
      <c r="W42" s="1"/>
      <c r="X42" s="1"/>
      <c r="Y42" s="1"/>
      <c r="Z42" s="18"/>
      <c r="AC42" s="23"/>
      <c r="AE42" s="18"/>
      <c r="AF42" s="19"/>
      <c r="AG42" s="19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</row>
    <row r="43" spans="1:56" ht="25.5" customHeight="1" x14ac:dyDescent="0.15">
      <c r="C43" s="209" t="s">
        <v>0</v>
      </c>
      <c r="D43" s="209"/>
      <c r="F43" s="214" t="s">
        <v>0</v>
      </c>
      <c r="G43" s="214"/>
      <c r="I43" s="131" t="s">
        <v>0</v>
      </c>
      <c r="J43" s="131"/>
      <c r="K43" s="55"/>
      <c r="L43" s="113"/>
      <c r="M43" s="113"/>
      <c r="O43" s="92" t="s">
        <v>35</v>
      </c>
      <c r="P43" s="92"/>
      <c r="Q43" s="92"/>
      <c r="R43" s="92"/>
      <c r="S43" s="92"/>
      <c r="T43" s="92"/>
      <c r="U43" s="92"/>
      <c r="V43" s="92"/>
      <c r="W43" s="1"/>
      <c r="X43" s="1"/>
      <c r="Y43" s="1"/>
      <c r="Z43" s="18"/>
      <c r="AC43" s="23"/>
      <c r="AE43" s="18"/>
      <c r="AF43" s="19"/>
      <c r="AG43" s="19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</row>
    <row r="44" spans="1:56" ht="18.75" customHeight="1" x14ac:dyDescent="0.15">
      <c r="A44" s="252" t="s">
        <v>65</v>
      </c>
      <c r="B44" s="253"/>
      <c r="C44" s="221">
        <f>修正不可!AS5*D27/12</f>
        <v>28800</v>
      </c>
      <c r="D44" s="222"/>
      <c r="E44" s="6"/>
      <c r="F44" s="213"/>
      <c r="G44" s="213"/>
      <c r="H44" s="76"/>
      <c r="I44" s="138"/>
      <c r="J44" s="139"/>
      <c r="K44" s="56"/>
      <c r="L44" s="106"/>
      <c r="M44" s="107"/>
      <c r="O44" s="114">
        <f>修正不可!O45</f>
        <v>36000</v>
      </c>
      <c r="P44" s="114"/>
      <c r="Q44" s="96"/>
      <c r="R44" s="96"/>
      <c r="S44" s="96"/>
      <c r="T44" s="96"/>
      <c r="U44" s="96"/>
      <c r="V44" s="96"/>
      <c r="W44" s="1"/>
      <c r="X44" s="1"/>
      <c r="Y44" s="1"/>
      <c r="Z44" s="18"/>
      <c r="AC44" s="23"/>
      <c r="AE44" s="18"/>
      <c r="AF44" s="19"/>
      <c r="AG44" s="19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</row>
    <row r="45" spans="1:56" ht="18.75" customHeight="1" x14ac:dyDescent="0.15">
      <c r="A45" s="253"/>
      <c r="B45" s="253"/>
      <c r="C45" s="223"/>
      <c r="D45" s="224"/>
      <c r="E45" s="2"/>
      <c r="F45" s="213"/>
      <c r="G45" s="213"/>
      <c r="H45" s="2"/>
      <c r="I45" s="140"/>
      <c r="J45" s="141"/>
      <c r="K45" s="56"/>
      <c r="L45" s="108"/>
      <c r="M45" s="109"/>
      <c r="O45" s="114"/>
      <c r="P45" s="114"/>
      <c r="Q45" s="96"/>
      <c r="R45" s="96"/>
      <c r="S45" s="96"/>
      <c r="T45" s="96"/>
      <c r="U45" s="96"/>
      <c r="V45" s="96"/>
      <c r="W45" s="1"/>
      <c r="X45" s="1"/>
      <c r="Y45" s="1"/>
      <c r="Z45" s="18"/>
      <c r="AC45" s="23"/>
      <c r="AE45" s="18"/>
      <c r="AF45" s="19"/>
      <c r="AG45" s="19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</row>
    <row r="46" spans="1:56" ht="18.75" customHeight="1" x14ac:dyDescent="0.15">
      <c r="A46" s="253"/>
      <c r="B46" s="253"/>
      <c r="C46" s="223"/>
      <c r="D46" s="224"/>
      <c r="E46" s="2"/>
      <c r="F46" s="213"/>
      <c r="G46" s="213"/>
      <c r="H46" s="2"/>
      <c r="I46" s="142"/>
      <c r="J46" s="143"/>
      <c r="K46" s="56"/>
      <c r="L46" s="110"/>
      <c r="M46" s="111"/>
      <c r="O46" s="114"/>
      <c r="P46" s="114"/>
      <c r="Q46" s="96"/>
      <c r="R46" s="96"/>
      <c r="S46" s="96"/>
      <c r="T46" s="96"/>
      <c r="U46" s="96"/>
      <c r="V46" s="96"/>
      <c r="W46" s="1"/>
      <c r="X46" s="18"/>
      <c r="Y46" s="18"/>
      <c r="Z46" s="18"/>
      <c r="AA46" s="23"/>
      <c r="AB46" s="23"/>
      <c r="AD46" s="19"/>
      <c r="AE46" s="19"/>
      <c r="AF46" s="19"/>
      <c r="AG46" s="19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</row>
    <row r="47" spans="1:56" ht="25.5" x14ac:dyDescent="0.15">
      <c r="A47" s="3"/>
      <c r="B47" s="9"/>
      <c r="C47" s="197" t="s">
        <v>1</v>
      </c>
      <c r="D47" s="197"/>
      <c r="E47" s="2"/>
      <c r="F47" s="214" t="s">
        <v>1</v>
      </c>
      <c r="G47" s="214"/>
      <c r="H47" s="2"/>
      <c r="I47" s="131" t="s">
        <v>1</v>
      </c>
      <c r="J47" s="131"/>
      <c r="K47" s="55"/>
      <c r="L47" s="113"/>
      <c r="M47" s="113"/>
      <c r="O47" s="93" t="s">
        <v>47</v>
      </c>
      <c r="P47" s="93"/>
      <c r="Q47" s="93"/>
      <c r="R47" s="93"/>
      <c r="S47" s="93"/>
      <c r="T47" s="93"/>
      <c r="U47" s="93"/>
      <c r="V47" s="93"/>
      <c r="W47" s="1"/>
      <c r="X47" s="18"/>
      <c r="Y47" s="18" t="s">
        <v>88</v>
      </c>
      <c r="Z47" s="18"/>
      <c r="AA47" s="23"/>
      <c r="AB47" s="23"/>
      <c r="AD47" s="19"/>
      <c r="AE47" s="19"/>
      <c r="AF47" s="19"/>
      <c r="AG47" s="19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</row>
    <row r="48" spans="1:56" ht="18.75" customHeight="1" x14ac:dyDescent="0.15">
      <c r="A48" s="236" t="s">
        <v>3</v>
      </c>
      <c r="B48" s="236"/>
      <c r="C48" s="201">
        <f>SUM(C36:D46)</f>
        <v>143200</v>
      </c>
      <c r="D48" s="201"/>
      <c r="F48" s="115">
        <f>SUM(F36:G46)</f>
        <v>51210</v>
      </c>
      <c r="G48" s="116"/>
      <c r="I48" s="144">
        <f>SUM(I36:J46)</f>
        <v>12800</v>
      </c>
      <c r="J48" s="145"/>
      <c r="K48" s="54"/>
      <c r="L48" s="100">
        <f>SUM(L36,L40)</f>
        <v>5859</v>
      </c>
      <c r="M48" s="101"/>
      <c r="O48" s="97">
        <f>修正不可!O54</f>
        <v>670000</v>
      </c>
      <c r="P48" s="97"/>
      <c r="Q48" s="97">
        <f>修正不可!P54</f>
        <v>260000</v>
      </c>
      <c r="R48" s="97"/>
      <c r="S48" s="97">
        <f>修正不可!R54</f>
        <v>170000</v>
      </c>
      <c r="T48" s="97"/>
      <c r="U48" s="97">
        <f>修正不可!T54</f>
        <v>30000</v>
      </c>
      <c r="V48" s="97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</row>
    <row r="49" spans="1:56" ht="18.75" customHeight="1" x14ac:dyDescent="0.15">
      <c r="A49" s="236"/>
      <c r="B49" s="236"/>
      <c r="C49" s="201"/>
      <c r="D49" s="201"/>
      <c r="F49" s="117"/>
      <c r="G49" s="118"/>
      <c r="I49" s="146"/>
      <c r="J49" s="147"/>
      <c r="K49" s="54"/>
      <c r="L49" s="102"/>
      <c r="M49" s="103"/>
      <c r="O49" s="97"/>
      <c r="P49" s="97"/>
      <c r="Q49" s="97"/>
      <c r="R49" s="97"/>
      <c r="S49" s="97"/>
      <c r="T49" s="97"/>
      <c r="U49" s="97"/>
      <c r="V49" s="97"/>
      <c r="W49" s="23"/>
      <c r="X49" s="23"/>
      <c r="Y49" s="18"/>
      <c r="Z49" s="19"/>
      <c r="AA49" s="19"/>
      <c r="AB49" s="19"/>
      <c r="AC49" s="19"/>
      <c r="AD49" s="19"/>
      <c r="AE49" s="19"/>
      <c r="AF49" s="19"/>
      <c r="AG49" s="19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</row>
    <row r="50" spans="1:56" ht="18.75" customHeight="1" x14ac:dyDescent="0.15">
      <c r="A50" s="236"/>
      <c r="B50" s="236"/>
      <c r="C50" s="201"/>
      <c r="D50" s="201"/>
      <c r="F50" s="119"/>
      <c r="G50" s="120"/>
      <c r="I50" s="148"/>
      <c r="J50" s="149"/>
      <c r="K50" s="54"/>
      <c r="L50" s="104"/>
      <c r="M50" s="105"/>
      <c r="O50" s="97"/>
      <c r="P50" s="97"/>
      <c r="Q50" s="97"/>
      <c r="R50" s="97"/>
      <c r="S50" s="97"/>
      <c r="T50" s="97"/>
      <c r="U50" s="97"/>
      <c r="V50" s="97"/>
      <c r="W50" s="18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</row>
    <row r="51" spans="1:56" ht="12.75" customHeight="1" thickBot="1" x14ac:dyDescent="0.2">
      <c r="A51" s="32"/>
      <c r="B51" s="32"/>
      <c r="C51" s="33"/>
      <c r="D51" s="33"/>
      <c r="F51" s="34"/>
      <c r="G51" s="34"/>
      <c r="I51" s="35"/>
      <c r="J51" s="35"/>
      <c r="K51" s="54"/>
      <c r="L51" s="77"/>
      <c r="M51" s="77"/>
      <c r="T51" s="7"/>
      <c r="U51" s="18"/>
      <c r="V51" s="23"/>
      <c r="W51" s="18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</row>
    <row r="52" spans="1:56" ht="24.75" customHeight="1" x14ac:dyDescent="0.15">
      <c r="I52" s="5"/>
      <c r="J52" s="5"/>
      <c r="K52" s="5"/>
      <c r="L52" s="5"/>
      <c r="M52" s="5"/>
      <c r="O52" s="233" t="s">
        <v>62</v>
      </c>
      <c r="P52" s="234"/>
      <c r="Q52" s="235"/>
      <c r="T52" s="7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9"/>
      <c r="AF52" s="19"/>
      <c r="AG52" s="19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</row>
    <row r="53" spans="1:56" ht="25.5" customHeight="1" x14ac:dyDescent="0.15">
      <c r="A53" s="238" t="s">
        <v>38</v>
      </c>
      <c r="B53" s="239"/>
      <c r="C53" s="240">
        <f>修正不可!O66</f>
        <v>143200</v>
      </c>
      <c r="D53" s="240"/>
      <c r="E53" s="241" t="s">
        <v>0</v>
      </c>
      <c r="F53" s="121">
        <f>修正不可!P66</f>
        <v>51200</v>
      </c>
      <c r="G53" s="122"/>
      <c r="H53" s="241" t="s">
        <v>0</v>
      </c>
      <c r="I53" s="150">
        <f>修正不可!R66</f>
        <v>12800</v>
      </c>
      <c r="J53" s="151"/>
      <c r="K53" s="57"/>
      <c r="L53" s="237">
        <f>修正不可!T66</f>
        <v>5800</v>
      </c>
      <c r="M53" s="237"/>
      <c r="N53" s="243" t="s">
        <v>1</v>
      </c>
      <c r="O53" s="244">
        <f>SUM(C53,F53,I53,L53)</f>
        <v>213000</v>
      </c>
      <c r="P53" s="245"/>
      <c r="Q53" s="246"/>
      <c r="R53" s="250" t="s">
        <v>61</v>
      </c>
      <c r="S53" s="251"/>
      <c r="T53" s="7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9"/>
      <c r="AF53" s="19"/>
      <c r="AG53" s="19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</row>
    <row r="54" spans="1:56" ht="26.25" customHeight="1" x14ac:dyDescent="0.15">
      <c r="A54" s="239"/>
      <c r="B54" s="239"/>
      <c r="C54" s="240"/>
      <c r="D54" s="240"/>
      <c r="E54" s="241"/>
      <c r="F54" s="123"/>
      <c r="G54" s="124"/>
      <c r="H54" s="241"/>
      <c r="I54" s="152"/>
      <c r="J54" s="153"/>
      <c r="K54" s="57"/>
      <c r="L54" s="237"/>
      <c r="M54" s="237"/>
      <c r="N54" s="243"/>
      <c r="O54" s="244"/>
      <c r="P54" s="245"/>
      <c r="Q54" s="246"/>
      <c r="R54" s="250"/>
      <c r="S54" s="251"/>
      <c r="T54" s="50" t="s">
        <v>78</v>
      </c>
      <c r="U54" s="1"/>
      <c r="V54" s="1"/>
      <c r="W54" s="1"/>
      <c r="X54" s="1"/>
      <c r="Y54" s="1"/>
      <c r="Z54" s="1"/>
      <c r="AA54" s="1"/>
      <c r="AB54" s="1"/>
      <c r="AC54" s="1"/>
      <c r="AD54" s="1"/>
      <c r="AE54" s="19"/>
      <c r="AF54" s="19"/>
      <c r="AG54" s="19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</row>
    <row r="55" spans="1:56" ht="24.75" thickBot="1" x14ac:dyDescent="0.2">
      <c r="A55" s="239"/>
      <c r="B55" s="239"/>
      <c r="C55" s="240"/>
      <c r="D55" s="240"/>
      <c r="E55" s="241"/>
      <c r="F55" s="125"/>
      <c r="G55" s="126"/>
      <c r="H55" s="241"/>
      <c r="I55" s="154"/>
      <c r="J55" s="155"/>
      <c r="K55" s="57"/>
      <c r="L55" s="237"/>
      <c r="M55" s="237"/>
      <c r="N55" s="243"/>
      <c r="O55" s="247"/>
      <c r="P55" s="248"/>
      <c r="Q55" s="249"/>
      <c r="R55" s="250"/>
      <c r="S55" s="251"/>
      <c r="T55" s="7"/>
      <c r="W55" s="18"/>
      <c r="X55" s="23"/>
      <c r="Y55" s="18"/>
      <c r="Z55" s="19"/>
      <c r="AA55" s="19"/>
      <c r="AB55" s="19"/>
      <c r="AC55" s="19"/>
      <c r="AD55" s="19"/>
      <c r="AE55" s="19"/>
      <c r="AF55" s="19"/>
      <c r="AG55" s="19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</row>
    <row r="56" spans="1:56" ht="29.25" customHeight="1" x14ac:dyDescent="0.15">
      <c r="A56" s="10"/>
      <c r="B56" s="10"/>
      <c r="C56" s="11"/>
      <c r="D56" s="11"/>
      <c r="E56" s="12"/>
      <c r="F56" s="11"/>
      <c r="G56" s="11"/>
      <c r="H56" s="11"/>
      <c r="I56" s="12"/>
      <c r="J56" s="11"/>
      <c r="K56" s="11"/>
      <c r="L56" s="11"/>
      <c r="M56" s="11"/>
      <c r="N56" s="11"/>
      <c r="O56" s="13"/>
      <c r="X56" s="18"/>
      <c r="Y56" s="23"/>
      <c r="Z56" s="23"/>
      <c r="AA56" s="19"/>
      <c r="AB56" s="19"/>
      <c r="AC56" s="19"/>
      <c r="AD56" s="19"/>
      <c r="AE56" s="19"/>
      <c r="AF56" s="19"/>
      <c r="AG56" s="19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</row>
    <row r="57" spans="1:56" ht="44.25" customHeight="1" x14ac:dyDescent="0.15">
      <c r="A57" s="230" t="s">
        <v>143</v>
      </c>
      <c r="B57" s="231"/>
      <c r="C57" s="89" t="s">
        <v>133</v>
      </c>
      <c r="D57" s="89"/>
      <c r="E57" s="89" t="s">
        <v>134</v>
      </c>
      <c r="F57" s="89"/>
      <c r="G57" s="89" t="s">
        <v>135</v>
      </c>
      <c r="H57" s="89"/>
      <c r="I57" s="89" t="s">
        <v>136</v>
      </c>
      <c r="J57" s="89"/>
      <c r="K57" s="89" t="s">
        <v>137</v>
      </c>
      <c r="L57" s="89"/>
      <c r="M57" s="89" t="s">
        <v>138</v>
      </c>
      <c r="N57" s="89"/>
      <c r="O57" s="89" t="s">
        <v>139</v>
      </c>
      <c r="P57" s="89"/>
      <c r="Q57" s="89" t="s">
        <v>140</v>
      </c>
      <c r="R57" s="89"/>
      <c r="S57" s="89" t="s">
        <v>141</v>
      </c>
      <c r="T57" s="89"/>
      <c r="X57" s="18"/>
      <c r="Y57" s="23"/>
      <c r="Z57" s="23"/>
      <c r="AA57" s="19"/>
      <c r="AB57" s="19"/>
      <c r="AC57" s="19"/>
      <c r="AD57" s="19"/>
      <c r="AE57" s="19"/>
      <c r="AF57" s="19"/>
      <c r="AG57" s="19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</row>
    <row r="58" spans="1:56" ht="29.25" customHeight="1" x14ac:dyDescent="0.15">
      <c r="A58" s="232" t="s">
        <v>142</v>
      </c>
      <c r="B58" s="232"/>
      <c r="C58" s="90">
        <f>O53-SUM(E58:T60)</f>
        <v>24200</v>
      </c>
      <c r="D58" s="90"/>
      <c r="E58" s="90">
        <f>ROUNDDOWN($O$53/9,-2)</f>
        <v>23600</v>
      </c>
      <c r="F58" s="90"/>
      <c r="G58" s="90">
        <f t="shared" ref="G58" si="6">ROUNDDOWN($O$53/9,-2)</f>
        <v>23600</v>
      </c>
      <c r="H58" s="90"/>
      <c r="I58" s="90">
        <f t="shared" ref="I58" si="7">ROUNDDOWN($O$53/9,-2)</f>
        <v>23600</v>
      </c>
      <c r="J58" s="90"/>
      <c r="K58" s="90">
        <f t="shared" ref="K58" si="8">ROUNDDOWN($O$53/9,-2)</f>
        <v>23600</v>
      </c>
      <c r="L58" s="90"/>
      <c r="M58" s="90">
        <f t="shared" ref="M58" si="9">ROUNDDOWN($O$53/9,-2)</f>
        <v>23600</v>
      </c>
      <c r="N58" s="90"/>
      <c r="O58" s="90">
        <f t="shared" ref="O58" si="10">ROUNDDOWN($O$53/9,-2)</f>
        <v>23600</v>
      </c>
      <c r="P58" s="90"/>
      <c r="Q58" s="90">
        <f t="shared" ref="Q58" si="11">ROUNDDOWN($O$53/9,-2)</f>
        <v>23600</v>
      </c>
      <c r="R58" s="90"/>
      <c r="S58" s="90">
        <f t="shared" ref="S58" si="12">ROUNDDOWN($O$53/9,-2)</f>
        <v>23600</v>
      </c>
      <c r="T58" s="90"/>
      <c r="X58" s="18"/>
      <c r="Y58" s="23"/>
      <c r="Z58" s="23"/>
      <c r="AA58" s="19"/>
      <c r="AB58" s="19"/>
      <c r="AC58" s="19"/>
      <c r="AD58" s="19"/>
      <c r="AE58" s="19"/>
      <c r="AF58" s="19"/>
      <c r="AG58" s="19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</row>
    <row r="59" spans="1:56" ht="26.25" customHeight="1" x14ac:dyDescent="0.15">
      <c r="A59" s="232"/>
      <c r="B59" s="232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X59" s="18"/>
      <c r="Y59" s="23"/>
      <c r="Z59" s="23"/>
      <c r="AA59" s="19"/>
      <c r="AB59" s="19"/>
      <c r="AC59" s="19"/>
      <c r="AD59" s="19"/>
      <c r="AE59" s="19"/>
      <c r="AF59" s="19"/>
      <c r="AG59" s="19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</row>
    <row r="60" spans="1:56" ht="11.25" customHeight="1" x14ac:dyDescent="0.15">
      <c r="A60" s="232"/>
      <c r="B60" s="232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X60" s="18"/>
      <c r="Y60" s="23"/>
      <c r="Z60" s="23"/>
      <c r="AA60" s="19"/>
      <c r="AB60" s="19"/>
      <c r="AC60" s="19"/>
      <c r="AD60" s="19"/>
      <c r="AE60" s="19"/>
      <c r="AF60" s="19"/>
      <c r="AG60" s="19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</row>
    <row r="61" spans="1:56" ht="29.25" customHeight="1" x14ac:dyDescent="0.15">
      <c r="A61" s="10"/>
      <c r="B61" s="10"/>
      <c r="C61" s="11"/>
      <c r="D61" s="11"/>
      <c r="E61" s="12"/>
      <c r="F61" s="11"/>
      <c r="G61" s="11"/>
      <c r="H61" s="11"/>
      <c r="I61" s="12"/>
      <c r="J61" s="11"/>
      <c r="K61" s="11"/>
      <c r="L61" s="11"/>
      <c r="M61" s="11"/>
      <c r="N61" s="11"/>
      <c r="O61" s="13"/>
      <c r="X61" s="18"/>
      <c r="Y61" s="23"/>
      <c r="Z61" s="23"/>
      <c r="AA61" s="19"/>
      <c r="AB61" s="19"/>
      <c r="AC61" s="19"/>
      <c r="AD61" s="19"/>
      <c r="AE61" s="19"/>
      <c r="AF61" s="19"/>
      <c r="AG61" s="19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</row>
    <row r="62" spans="1:56" ht="29.25" customHeight="1" x14ac:dyDescent="0.15">
      <c r="A62" s="10"/>
      <c r="B62" s="10"/>
      <c r="C62" s="11"/>
      <c r="D62" s="11"/>
      <c r="E62" s="12"/>
      <c r="F62" s="11"/>
      <c r="G62" s="11"/>
      <c r="H62" s="11"/>
      <c r="I62" s="12"/>
      <c r="J62" s="11"/>
      <c r="K62" s="11"/>
      <c r="L62" s="11"/>
      <c r="M62" s="11"/>
      <c r="N62" s="11"/>
      <c r="O62" s="13"/>
      <c r="X62" s="18"/>
      <c r="Y62" s="23"/>
      <c r="Z62" s="23"/>
      <c r="AA62" s="19"/>
      <c r="AB62" s="19"/>
      <c r="AC62" s="19"/>
      <c r="AD62" s="19"/>
      <c r="AE62" s="19"/>
      <c r="AF62" s="19"/>
      <c r="AG62" s="19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</row>
    <row r="63" spans="1:56" ht="19.5" customHeight="1" x14ac:dyDescent="0.15">
      <c r="A63" s="215" t="s">
        <v>76</v>
      </c>
      <c r="B63" s="215"/>
      <c r="C63" s="215"/>
      <c r="D63" s="215"/>
      <c r="E63" s="215"/>
      <c r="F63" s="215"/>
      <c r="G63" s="215"/>
      <c r="H63" s="215"/>
      <c r="I63" s="215"/>
      <c r="J63" s="215"/>
      <c r="K63" s="215"/>
      <c r="L63" s="215"/>
      <c r="M63" s="215"/>
      <c r="N63" s="215"/>
      <c r="O63" s="215"/>
      <c r="P63" s="215"/>
      <c r="Q63" s="215"/>
      <c r="R63" s="215"/>
      <c r="S63" s="215"/>
      <c r="T63" s="215"/>
      <c r="U63" s="215"/>
      <c r="V63" s="215"/>
      <c r="W63" s="215"/>
      <c r="X63" s="215"/>
      <c r="Y63" s="215"/>
      <c r="Z63" s="215"/>
      <c r="AA63" s="215"/>
      <c r="AB63" s="215"/>
      <c r="AC63" s="215"/>
      <c r="AD63" s="215"/>
      <c r="AE63" s="215"/>
      <c r="AF63" s="215"/>
      <c r="AG63" s="215"/>
      <c r="AH63" s="215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</row>
    <row r="64" spans="1:56" ht="19.5" customHeight="1" x14ac:dyDescent="0.15">
      <c r="A64" s="215"/>
      <c r="B64" s="215"/>
      <c r="C64" s="215"/>
      <c r="D64" s="215"/>
      <c r="E64" s="215"/>
      <c r="F64" s="215"/>
      <c r="G64" s="215"/>
      <c r="H64" s="215"/>
      <c r="I64" s="215"/>
      <c r="J64" s="215"/>
      <c r="K64" s="215"/>
      <c r="L64" s="215"/>
      <c r="M64" s="215"/>
      <c r="N64" s="215"/>
      <c r="O64" s="215"/>
      <c r="P64" s="215"/>
      <c r="Q64" s="215"/>
      <c r="R64" s="215"/>
      <c r="S64" s="215"/>
      <c r="T64" s="215"/>
      <c r="U64" s="215"/>
      <c r="V64" s="215"/>
      <c r="W64" s="215"/>
      <c r="X64" s="215"/>
      <c r="Y64" s="215"/>
      <c r="Z64" s="215"/>
      <c r="AA64" s="215"/>
      <c r="AB64" s="215"/>
      <c r="AC64" s="215"/>
      <c r="AD64" s="215"/>
      <c r="AE64" s="215"/>
      <c r="AF64" s="215"/>
      <c r="AG64" s="215"/>
      <c r="AH64" s="215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</row>
    <row r="65" spans="1:56" ht="19.5" customHeight="1" x14ac:dyDescent="0.15">
      <c r="A65" s="88"/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</row>
    <row r="66" spans="1:56" ht="18" customHeight="1" x14ac:dyDescent="0.15">
      <c r="A66" s="88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</row>
    <row r="67" spans="1:56" ht="21" customHeight="1" x14ac:dyDescent="0.15">
      <c r="A67" s="88"/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</row>
    <row r="68" spans="1:56" ht="18.75" customHeight="1" x14ac:dyDescent="0.15">
      <c r="A68" s="88"/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8"/>
      <c r="AG68" s="88"/>
      <c r="AH68" s="88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</row>
    <row r="69" spans="1:56" ht="18.75" customHeight="1" x14ac:dyDescent="0.15">
      <c r="A69" s="88"/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8"/>
      <c r="AG69" s="88"/>
      <c r="AH69" s="88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</row>
    <row r="70" spans="1:56" ht="18.75" customHeight="1" x14ac:dyDescent="0.15">
      <c r="A70" s="88"/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</row>
    <row r="71" spans="1:56" ht="18.75" customHeight="1" x14ac:dyDescent="0.15">
      <c r="A71" s="88"/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8"/>
      <c r="AG71" s="88"/>
      <c r="AH71" s="88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</row>
    <row r="72" spans="1:56" ht="18.75" customHeight="1" x14ac:dyDescent="0.15">
      <c r="A72" s="88"/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88"/>
      <c r="AH72" s="88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</row>
    <row r="73" spans="1:56" ht="18.75" customHeight="1" x14ac:dyDescent="0.15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19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</row>
    <row r="74" spans="1:56" ht="18.75" customHeight="1" x14ac:dyDescent="0.15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19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</row>
    <row r="75" spans="1:56" ht="18.75" customHeight="1" x14ac:dyDescent="0.1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19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</row>
    <row r="76" spans="1:56" ht="18.75" customHeight="1" x14ac:dyDescent="0.15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19"/>
    </row>
    <row r="77" spans="1:56" ht="18.75" customHeight="1" x14ac:dyDescent="0.15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19"/>
    </row>
    <row r="78" spans="1:56" ht="18.75" customHeight="1" x14ac:dyDescent="0.15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19"/>
    </row>
    <row r="79" spans="1:56" ht="18.75" customHeight="1" x14ac:dyDescent="0.15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19"/>
    </row>
    <row r="80" spans="1:56" ht="18.75" customHeight="1" x14ac:dyDescent="0.15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19"/>
    </row>
    <row r="81" spans="1:33" ht="18.75" customHeight="1" x14ac:dyDescent="0.15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19"/>
    </row>
    <row r="82" spans="1:33" ht="18.75" customHeight="1" x14ac:dyDescent="0.1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2"/>
      <c r="U82" s="1"/>
      <c r="V82" s="1"/>
      <c r="W82" s="1"/>
      <c r="Z82" s="1"/>
      <c r="AA82" s="19"/>
      <c r="AB82" s="19"/>
      <c r="AC82" s="19"/>
      <c r="AG82" s="19"/>
    </row>
    <row r="83" spans="1:33" ht="18.75" customHeight="1" x14ac:dyDescent="0.1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2"/>
      <c r="U83" s="1"/>
      <c r="V83" s="1"/>
      <c r="W83" s="1"/>
      <c r="Z83" s="1"/>
      <c r="AA83" s="19"/>
      <c r="AB83" s="19"/>
      <c r="AC83" s="19"/>
      <c r="AG83" s="19"/>
    </row>
    <row r="84" spans="1:33" ht="18.75" customHeight="1" x14ac:dyDescent="0.1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2"/>
      <c r="U84" s="1"/>
      <c r="V84" s="1"/>
      <c r="W84" s="1"/>
      <c r="Z84" s="1"/>
      <c r="AA84" s="19"/>
      <c r="AB84" s="19"/>
      <c r="AC84" s="19"/>
      <c r="AG84" s="19"/>
    </row>
    <row r="85" spans="1:33" ht="18.75" customHeight="1" x14ac:dyDescent="0.1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2"/>
      <c r="U85" s="1"/>
      <c r="V85" s="1"/>
      <c r="W85" s="1"/>
      <c r="X85" s="1"/>
      <c r="Y85" s="1"/>
      <c r="Z85" s="1"/>
      <c r="AA85" s="19"/>
      <c r="AB85" s="19"/>
      <c r="AC85" s="19"/>
      <c r="AG85" s="19"/>
    </row>
    <row r="86" spans="1:33" ht="18.75" customHeight="1" x14ac:dyDescent="0.1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2"/>
      <c r="U86" s="1"/>
      <c r="V86" s="1"/>
      <c r="W86" s="1"/>
      <c r="X86" s="1"/>
      <c r="Y86" s="1"/>
      <c r="Z86" s="1"/>
      <c r="AA86" s="19"/>
      <c r="AB86" s="19"/>
      <c r="AC86" s="19"/>
      <c r="AG86" s="19"/>
    </row>
    <row r="87" spans="1:33" ht="18.75" customHeight="1" x14ac:dyDescent="0.1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2"/>
      <c r="U87" s="1"/>
      <c r="V87" s="1"/>
      <c r="W87" s="1"/>
      <c r="X87" s="1"/>
      <c r="Y87" s="1"/>
      <c r="Z87" s="1"/>
      <c r="AA87" s="19"/>
      <c r="AB87" s="19"/>
      <c r="AC87" s="19"/>
      <c r="AG87" s="19"/>
    </row>
    <row r="88" spans="1:33" ht="18.75" customHeight="1" x14ac:dyDescent="0.15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2"/>
      <c r="U88" s="1"/>
      <c r="V88" s="1"/>
      <c r="W88" s="1"/>
      <c r="X88" s="1"/>
      <c r="Y88" s="1"/>
      <c r="Z88" s="1"/>
      <c r="AA88" s="19"/>
      <c r="AB88" s="19"/>
      <c r="AC88" s="19"/>
      <c r="AG88" s="19"/>
    </row>
    <row r="89" spans="1:33" x14ac:dyDescent="0.1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2"/>
      <c r="P89" s="2"/>
      <c r="Q89" s="2"/>
      <c r="R89" s="2"/>
      <c r="S89" s="2"/>
      <c r="U89" s="1"/>
      <c r="V89" s="1"/>
      <c r="W89" s="1"/>
      <c r="X89" s="1"/>
      <c r="Y89" s="1"/>
      <c r="Z89" s="1"/>
      <c r="AA89" s="19"/>
      <c r="AB89" s="19"/>
      <c r="AC89" s="19"/>
      <c r="AG89" s="19"/>
    </row>
    <row r="90" spans="1:33" x14ac:dyDescent="0.1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U90" s="1"/>
      <c r="V90" s="1"/>
      <c r="W90" s="1"/>
      <c r="X90" s="1"/>
      <c r="Y90" s="1"/>
      <c r="Z90" s="1"/>
      <c r="AA90" s="19"/>
      <c r="AB90" s="19"/>
      <c r="AC90" s="19"/>
      <c r="AG90" s="19"/>
    </row>
    <row r="91" spans="1:33" x14ac:dyDescent="0.1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U91" s="1"/>
      <c r="V91" s="1"/>
      <c r="W91" s="1"/>
      <c r="X91" s="1"/>
      <c r="Y91" s="1"/>
      <c r="Z91" s="1"/>
      <c r="AA91" s="19"/>
      <c r="AB91" s="19"/>
      <c r="AC91" s="19"/>
      <c r="AG91" s="19"/>
    </row>
    <row r="92" spans="1:33" x14ac:dyDescent="0.1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U92" s="1"/>
      <c r="V92" s="1"/>
      <c r="W92" s="1"/>
      <c r="X92" s="1"/>
      <c r="Y92" s="1"/>
      <c r="Z92" s="1"/>
      <c r="AA92" s="19"/>
      <c r="AB92" s="19"/>
      <c r="AC92" s="19"/>
      <c r="AG92" s="19"/>
    </row>
    <row r="93" spans="1:33" x14ac:dyDescent="0.1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U93" s="1"/>
      <c r="V93" s="1"/>
      <c r="W93" s="1"/>
      <c r="X93" s="1"/>
      <c r="Y93" s="1"/>
      <c r="Z93" s="1"/>
      <c r="AA93" s="19"/>
      <c r="AB93" s="19"/>
      <c r="AC93" s="19"/>
      <c r="AG93" s="19"/>
    </row>
    <row r="94" spans="1:33" x14ac:dyDescent="0.1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U94" s="1"/>
      <c r="V94" s="1"/>
      <c r="W94" s="1"/>
      <c r="X94" s="1"/>
      <c r="Y94" s="1"/>
      <c r="Z94" s="1"/>
      <c r="AA94" s="19"/>
      <c r="AB94" s="19"/>
      <c r="AC94" s="19"/>
      <c r="AG94" s="19"/>
    </row>
    <row r="95" spans="1:33" x14ac:dyDescent="0.1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U95" s="1"/>
      <c r="V95" s="1"/>
      <c r="W95" s="1"/>
      <c r="X95" s="1"/>
      <c r="Y95" s="1"/>
      <c r="Z95" s="1"/>
      <c r="AA95" s="19"/>
      <c r="AB95" s="19"/>
      <c r="AC95" s="19"/>
      <c r="AG95" s="19"/>
    </row>
    <row r="96" spans="1:33" x14ac:dyDescent="0.1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U96" s="1"/>
      <c r="V96" s="1"/>
      <c r="W96" s="1"/>
      <c r="X96" s="1"/>
      <c r="Y96" s="1"/>
      <c r="Z96" s="1"/>
      <c r="AA96" s="19"/>
      <c r="AB96" s="19"/>
      <c r="AC96" s="19"/>
      <c r="AG96" s="19"/>
    </row>
    <row r="97" spans="1:33" x14ac:dyDescent="0.1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X97" s="1"/>
      <c r="Y97" s="1"/>
      <c r="Z97" s="1"/>
      <c r="AA97" s="19"/>
      <c r="AB97" s="19"/>
      <c r="AC97" s="19"/>
      <c r="AG97" s="19"/>
    </row>
    <row r="98" spans="1:33" x14ac:dyDescent="0.1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X98" s="1"/>
      <c r="Y98" s="1"/>
      <c r="Z98" s="1"/>
      <c r="AA98" s="19"/>
      <c r="AB98" s="19"/>
      <c r="AC98" s="19"/>
      <c r="AG98" s="19"/>
    </row>
    <row r="99" spans="1:33" x14ac:dyDescent="0.1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X99" s="1"/>
      <c r="Y99" s="1"/>
      <c r="Z99" s="1"/>
      <c r="AA99" s="19"/>
      <c r="AB99" s="19"/>
      <c r="AC99" s="19"/>
      <c r="AG99" s="19"/>
    </row>
    <row r="100" spans="1:33" x14ac:dyDescent="0.1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X100" s="1"/>
      <c r="Y100" s="1"/>
      <c r="Z100" s="1"/>
      <c r="AA100" s="19"/>
      <c r="AB100" s="19"/>
      <c r="AC100" s="19"/>
      <c r="AG100" s="19"/>
    </row>
    <row r="101" spans="1:33" x14ac:dyDescent="0.1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X101" s="1"/>
      <c r="Y101" s="1"/>
      <c r="Z101" s="1"/>
      <c r="AA101" s="19"/>
      <c r="AB101" s="19"/>
      <c r="AC101" s="19"/>
      <c r="AG101" s="19"/>
    </row>
    <row r="102" spans="1:33" x14ac:dyDescent="0.1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X102" s="1"/>
      <c r="Y102" s="1"/>
      <c r="Z102" s="1"/>
      <c r="AA102" s="19"/>
      <c r="AB102" s="19"/>
      <c r="AC102" s="19"/>
      <c r="AG102" s="19"/>
    </row>
    <row r="103" spans="1:33" x14ac:dyDescent="0.1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X103" s="1"/>
      <c r="Y103" s="1"/>
      <c r="Z103" s="1"/>
      <c r="AA103" s="19"/>
      <c r="AB103" s="19"/>
      <c r="AC103" s="19"/>
      <c r="AG103" s="19"/>
    </row>
    <row r="104" spans="1:33" x14ac:dyDescent="0.1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X104" s="1"/>
      <c r="Y104" s="1"/>
      <c r="Z104" s="1"/>
      <c r="AA104" s="19"/>
      <c r="AB104" s="19"/>
      <c r="AC104" s="19"/>
      <c r="AG104" s="19"/>
    </row>
    <row r="105" spans="1:33" x14ac:dyDescent="0.1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X105" s="1"/>
      <c r="Y105" s="1"/>
      <c r="Z105" s="1"/>
      <c r="AA105" s="19"/>
      <c r="AB105" s="19"/>
      <c r="AC105" s="19"/>
      <c r="AG105" s="19"/>
    </row>
    <row r="106" spans="1:33" x14ac:dyDescent="0.1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X106" s="1"/>
      <c r="Y106" s="1"/>
      <c r="Z106" s="1"/>
      <c r="AA106" s="19"/>
      <c r="AB106" s="19"/>
      <c r="AC106" s="19"/>
      <c r="AG106" s="19"/>
    </row>
    <row r="107" spans="1:33" x14ac:dyDescent="0.1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X107" s="1"/>
      <c r="Y107" s="1"/>
      <c r="Z107" s="1"/>
      <c r="AA107" s="19"/>
      <c r="AB107" s="19"/>
      <c r="AC107" s="19"/>
      <c r="AG107" s="19"/>
    </row>
    <row r="108" spans="1:33" x14ac:dyDescent="0.1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X108" s="1"/>
      <c r="Y108" s="1"/>
      <c r="Z108" s="1"/>
      <c r="AA108" s="19"/>
      <c r="AB108" s="19"/>
      <c r="AC108" s="19"/>
      <c r="AG108" s="19"/>
    </row>
    <row r="109" spans="1:33" x14ac:dyDescent="0.1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X109" s="1"/>
      <c r="Y109" s="1"/>
      <c r="Z109" s="1"/>
      <c r="AA109" s="19"/>
      <c r="AB109" s="19"/>
      <c r="AC109" s="19"/>
      <c r="AG109" s="19"/>
    </row>
    <row r="110" spans="1:33" x14ac:dyDescent="0.1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X110" s="1"/>
      <c r="Y110" s="1"/>
      <c r="Z110" s="1"/>
      <c r="AA110" s="19"/>
      <c r="AB110" s="19"/>
      <c r="AC110" s="19"/>
      <c r="AG110" s="19"/>
    </row>
    <row r="111" spans="1:33" x14ac:dyDescent="0.1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X111" s="1"/>
      <c r="Y111" s="1"/>
      <c r="Z111" s="1"/>
      <c r="AA111" s="19"/>
      <c r="AB111" s="19"/>
      <c r="AC111" s="19"/>
      <c r="AG111" s="19"/>
    </row>
    <row r="112" spans="1:33" x14ac:dyDescent="0.1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X112" s="1"/>
      <c r="Y112" s="1"/>
      <c r="Z112" s="1"/>
      <c r="AA112" s="19"/>
      <c r="AB112" s="19"/>
      <c r="AC112" s="19"/>
      <c r="AG112" s="19"/>
    </row>
    <row r="113" spans="1:33" x14ac:dyDescent="0.1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X113" s="1"/>
      <c r="Y113" s="1"/>
      <c r="Z113" s="1"/>
      <c r="AA113" s="19"/>
      <c r="AB113" s="19"/>
      <c r="AC113" s="19"/>
      <c r="AG113" s="19"/>
    </row>
    <row r="114" spans="1:33" x14ac:dyDescent="0.15">
      <c r="X114" s="1"/>
      <c r="Y114" s="1"/>
      <c r="Z114" s="1"/>
      <c r="AA114" s="19"/>
      <c r="AB114" s="19"/>
      <c r="AC114" s="19"/>
      <c r="AG114" s="19"/>
    </row>
    <row r="115" spans="1:33" x14ac:dyDescent="0.15">
      <c r="X115" s="1"/>
      <c r="Y115" s="1"/>
      <c r="Z115" s="1"/>
      <c r="AA115" s="19"/>
      <c r="AB115" s="19"/>
      <c r="AC115" s="19"/>
      <c r="AG115" s="19"/>
    </row>
    <row r="116" spans="1:33" x14ac:dyDescent="0.15">
      <c r="X116" s="1"/>
      <c r="Y116" s="1"/>
      <c r="Z116" s="1"/>
      <c r="AA116" s="19"/>
      <c r="AB116" s="19"/>
      <c r="AC116" s="19"/>
      <c r="AG116" s="19"/>
    </row>
    <row r="117" spans="1:33" x14ac:dyDescent="0.15">
      <c r="AA117" s="19"/>
      <c r="AB117" s="19"/>
      <c r="AC117" s="19"/>
    </row>
  </sheetData>
  <mergeCells count="206">
    <mergeCell ref="N4:N5"/>
    <mergeCell ref="S58:T60"/>
    <mergeCell ref="E58:F60"/>
    <mergeCell ref="A57:B57"/>
    <mergeCell ref="A58:B60"/>
    <mergeCell ref="C44:D46"/>
    <mergeCell ref="O52:Q52"/>
    <mergeCell ref="Q48:R50"/>
    <mergeCell ref="O48:P50"/>
    <mergeCell ref="S48:T50"/>
    <mergeCell ref="A48:B50"/>
    <mergeCell ref="C48:D50"/>
    <mergeCell ref="L53:M55"/>
    <mergeCell ref="A53:B55"/>
    <mergeCell ref="C53:D55"/>
    <mergeCell ref="E53:E55"/>
    <mergeCell ref="H53:H55"/>
    <mergeCell ref="B4:B5"/>
    <mergeCell ref="N53:N55"/>
    <mergeCell ref="O53:Q55"/>
    <mergeCell ref="R53:S55"/>
    <mergeCell ref="A44:B46"/>
    <mergeCell ref="C4:C5"/>
    <mergeCell ref="D4:D5"/>
    <mergeCell ref="E4:E5"/>
    <mergeCell ref="A7:A8"/>
    <mergeCell ref="O3:AD32"/>
    <mergeCell ref="A36:B38"/>
    <mergeCell ref="C36:D38"/>
    <mergeCell ref="E36:E38"/>
    <mergeCell ref="O34:P34"/>
    <mergeCell ref="Q34:R34"/>
    <mergeCell ref="S34:T34"/>
    <mergeCell ref="U34:V34"/>
    <mergeCell ref="A24:A26"/>
    <mergeCell ref="J6:J8"/>
    <mergeCell ref="J15:J17"/>
    <mergeCell ref="M6:M8"/>
    <mergeCell ref="M9:M11"/>
    <mergeCell ref="M12:M14"/>
    <mergeCell ref="M15:M17"/>
    <mergeCell ref="M21:M23"/>
    <mergeCell ref="M24:M26"/>
    <mergeCell ref="M18:M20"/>
    <mergeCell ref="J24:J26"/>
    <mergeCell ref="C6:C8"/>
    <mergeCell ref="D6:D8"/>
    <mergeCell ref="E6:E8"/>
    <mergeCell ref="F40:G42"/>
    <mergeCell ref="F44:G46"/>
    <mergeCell ref="F39:G39"/>
    <mergeCell ref="F43:G43"/>
    <mergeCell ref="F47:G47"/>
    <mergeCell ref="A63:AH64"/>
    <mergeCell ref="L21:L23"/>
    <mergeCell ref="L24:L26"/>
    <mergeCell ref="L4:L5"/>
    <mergeCell ref="A18:A20"/>
    <mergeCell ref="A21:A23"/>
    <mergeCell ref="C18:C20"/>
    <mergeCell ref="D18:D20"/>
    <mergeCell ref="E18:E20"/>
    <mergeCell ref="F18:F20"/>
    <mergeCell ref="H18:I20"/>
    <mergeCell ref="J18:J20"/>
    <mergeCell ref="C21:C23"/>
    <mergeCell ref="D21:D23"/>
    <mergeCell ref="E21:E23"/>
    <mergeCell ref="F21:F23"/>
    <mergeCell ref="H21:I23"/>
    <mergeCell ref="J21:J23"/>
    <mergeCell ref="A4:A5"/>
    <mergeCell ref="C39:D39"/>
    <mergeCell ref="A40:B42"/>
    <mergeCell ref="C40:D42"/>
    <mergeCell ref="C47:D47"/>
    <mergeCell ref="C33:D35"/>
    <mergeCell ref="B27:B28"/>
    <mergeCell ref="C27:C28"/>
    <mergeCell ref="D27:D28"/>
    <mergeCell ref="E27:E28"/>
    <mergeCell ref="D29:E30"/>
    <mergeCell ref="C43:D43"/>
    <mergeCell ref="E2:F2"/>
    <mergeCell ref="C3:D3"/>
    <mergeCell ref="E3:F3"/>
    <mergeCell ref="H3:I3"/>
    <mergeCell ref="B9:B26"/>
    <mergeCell ref="C9:C11"/>
    <mergeCell ref="D9:D11"/>
    <mergeCell ref="E9:E11"/>
    <mergeCell ref="C12:C14"/>
    <mergeCell ref="D12:D14"/>
    <mergeCell ref="E12:E14"/>
    <mergeCell ref="D24:D26"/>
    <mergeCell ref="E24:E26"/>
    <mergeCell ref="C24:C26"/>
    <mergeCell ref="F4:F5"/>
    <mergeCell ref="H4:I5"/>
    <mergeCell ref="H15:I17"/>
    <mergeCell ref="F15:F17"/>
    <mergeCell ref="H9:I11"/>
    <mergeCell ref="G24:G26"/>
    <mergeCell ref="F12:F14"/>
    <mergeCell ref="H12:I14"/>
    <mergeCell ref="C15:C17"/>
    <mergeCell ref="B6:B8"/>
    <mergeCell ref="F6:F8"/>
    <mergeCell ref="H6:I8"/>
    <mergeCell ref="F24:F26"/>
    <mergeCell ref="A9:A11"/>
    <mergeCell ref="A12:A14"/>
    <mergeCell ref="A15:A17"/>
    <mergeCell ref="D15:D17"/>
    <mergeCell ref="E15:E17"/>
    <mergeCell ref="F9:F11"/>
    <mergeCell ref="K24:K26"/>
    <mergeCell ref="K29:K30"/>
    <mergeCell ref="L6:L8"/>
    <mergeCell ref="L9:L11"/>
    <mergeCell ref="L12:L14"/>
    <mergeCell ref="L15:L17"/>
    <mergeCell ref="L18:L20"/>
    <mergeCell ref="O40:P42"/>
    <mergeCell ref="O36:P38"/>
    <mergeCell ref="O35:V35"/>
    <mergeCell ref="J12:J14"/>
    <mergeCell ref="J9:J11"/>
    <mergeCell ref="K4:K5"/>
    <mergeCell ref="K6:K8"/>
    <mergeCell ref="K9:K11"/>
    <mergeCell ref="K12:K14"/>
    <mergeCell ref="K15:K17"/>
    <mergeCell ref="K18:K20"/>
    <mergeCell ref="K21:K23"/>
    <mergeCell ref="F48:G50"/>
    <mergeCell ref="F53:G55"/>
    <mergeCell ref="J4:J5"/>
    <mergeCell ref="H24:I26"/>
    <mergeCell ref="I36:J38"/>
    <mergeCell ref="I33:J35"/>
    <mergeCell ref="I39:J39"/>
    <mergeCell ref="I40:J42"/>
    <mergeCell ref="I43:J43"/>
    <mergeCell ref="I44:J46"/>
    <mergeCell ref="I47:J47"/>
    <mergeCell ref="I48:J50"/>
    <mergeCell ref="I53:J55"/>
    <mergeCell ref="G4:G5"/>
    <mergeCell ref="G6:G8"/>
    <mergeCell ref="G9:G11"/>
    <mergeCell ref="G12:G14"/>
    <mergeCell ref="G15:G17"/>
    <mergeCell ref="G18:G20"/>
    <mergeCell ref="G21:G23"/>
    <mergeCell ref="H36:H38"/>
    <mergeCell ref="F29:J30"/>
    <mergeCell ref="F33:G35"/>
    <mergeCell ref="F36:G38"/>
    <mergeCell ref="Q58:R60"/>
    <mergeCell ref="O39:V39"/>
    <mergeCell ref="O43:V43"/>
    <mergeCell ref="O47:V47"/>
    <mergeCell ref="U36:V38"/>
    <mergeCell ref="U40:V42"/>
    <mergeCell ref="U44:V46"/>
    <mergeCell ref="U48:V50"/>
    <mergeCell ref="L33:M35"/>
    <mergeCell ref="L36:M38"/>
    <mergeCell ref="L40:M42"/>
    <mergeCell ref="L44:M46"/>
    <mergeCell ref="L39:M39"/>
    <mergeCell ref="L43:M43"/>
    <mergeCell ref="L47:M47"/>
    <mergeCell ref="L48:M50"/>
    <mergeCell ref="Q44:R46"/>
    <mergeCell ref="S44:T46"/>
    <mergeCell ref="O44:P46"/>
    <mergeCell ref="Q36:R38"/>
    <mergeCell ref="S36:T38"/>
    <mergeCell ref="Q40:R42"/>
    <mergeCell ref="S40:T42"/>
    <mergeCell ref="M4:M5"/>
    <mergeCell ref="N6:N8"/>
    <mergeCell ref="N9:N11"/>
    <mergeCell ref="N12:N14"/>
    <mergeCell ref="N15:N17"/>
    <mergeCell ref="N18:N20"/>
    <mergeCell ref="N21:N23"/>
    <mergeCell ref="N24:N26"/>
    <mergeCell ref="A65:AH72"/>
    <mergeCell ref="C57:D57"/>
    <mergeCell ref="E57:F57"/>
    <mergeCell ref="G57:H57"/>
    <mergeCell ref="I57:J57"/>
    <mergeCell ref="K57:L57"/>
    <mergeCell ref="M57:N57"/>
    <mergeCell ref="O57:P57"/>
    <mergeCell ref="Q57:R57"/>
    <mergeCell ref="S57:T57"/>
    <mergeCell ref="C58:D60"/>
    <mergeCell ref="G58:H60"/>
    <mergeCell ref="I58:J60"/>
    <mergeCell ref="K58:L60"/>
    <mergeCell ref="M58:N60"/>
    <mergeCell ref="O58:P60"/>
  </mergeCells>
  <phoneticPr fontId="2"/>
  <dataValidations count="3">
    <dataValidation type="list" allowBlank="1" showInputMessage="1" showErrorMessage="1" sqref="D6:D26 F6:F26" xr:uid="{00000000-0002-0000-0000-000000000000}">
      <formula1>"1,2,3,4,5,6,7,8,9,10,11,12"</formula1>
    </dataValidation>
    <dataValidation type="list" allowBlank="1" showInputMessage="1" showErrorMessage="1" sqref="E21:E26" xr:uid="{00000000-0002-0000-0000-000001000000}">
      <formula1>"○"</formula1>
    </dataValidation>
    <dataValidation type="list" allowBlank="1" showInputMessage="1" showErrorMessage="1" sqref="E6:E20 B6:B8 K21:L21 J6:J26 K6:L6 K9:L9 K12:L12 K15:L15 K18:L18 K24:L24 C6:C26 G6:G26" xr:uid="{00000000-0002-0000-0000-000002000000}">
      <formula1>"　,○"</formula1>
    </dataValidation>
  </dataValidations>
  <pageMargins left="0.70866141732283472" right="0.70866141732283472" top="0.74803149606299213" bottom="0.74803149606299213" header="0.31496062992125984" footer="0.31496062992125984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O21"/>
  <sheetViews>
    <sheetView zoomScaleNormal="100" workbookViewId="0">
      <selection activeCell="E19" sqref="E19:F19"/>
    </sheetView>
  </sheetViews>
  <sheetFormatPr defaultRowHeight="13.5" x14ac:dyDescent="0.15"/>
  <cols>
    <col min="5" max="11" width="9.875" customWidth="1"/>
  </cols>
  <sheetData>
    <row r="1" spans="1:15" ht="22.5" customHeight="1" x14ac:dyDescent="0.15">
      <c r="A1" s="258" t="s">
        <v>79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spans="1:15" x14ac:dyDescent="0.15">
      <c r="A2" s="262" t="s">
        <v>145</v>
      </c>
      <c r="B2" s="263"/>
      <c r="C2" s="263"/>
      <c r="D2" s="264"/>
      <c r="E2" s="258" t="s">
        <v>67</v>
      </c>
      <c r="F2" s="258"/>
      <c r="G2" s="258"/>
      <c r="H2" s="258"/>
      <c r="I2" s="258"/>
      <c r="J2" s="258"/>
      <c r="K2" s="258"/>
    </row>
    <row r="3" spans="1:15" x14ac:dyDescent="0.15">
      <c r="A3" s="268"/>
      <c r="B3" s="269"/>
      <c r="C3" s="269"/>
      <c r="D3" s="270"/>
      <c r="E3" s="258"/>
      <c r="F3" s="258"/>
      <c r="G3" s="258"/>
      <c r="H3" s="258"/>
      <c r="I3" s="258"/>
      <c r="J3" s="258"/>
      <c r="K3" s="258"/>
    </row>
    <row r="4" spans="1:15" ht="21" customHeight="1" x14ac:dyDescent="0.15">
      <c r="A4" s="258" t="s">
        <v>148</v>
      </c>
      <c r="B4" s="258"/>
      <c r="C4" s="258"/>
      <c r="D4" s="258"/>
      <c r="E4" s="293" t="s">
        <v>154</v>
      </c>
      <c r="F4" s="292"/>
      <c r="G4" s="292"/>
      <c r="H4" s="292"/>
      <c r="I4" s="292"/>
      <c r="J4" s="80"/>
      <c r="K4" s="81"/>
    </row>
    <row r="5" spans="1:15" ht="21" customHeight="1" x14ac:dyDescent="0.15">
      <c r="A5" s="259" t="s">
        <v>149</v>
      </c>
      <c r="B5" s="260"/>
      <c r="C5" s="260"/>
      <c r="D5" s="261"/>
      <c r="E5" s="293" t="s">
        <v>147</v>
      </c>
      <c r="F5" s="292"/>
      <c r="G5" s="292"/>
      <c r="H5" s="292"/>
      <c r="I5" s="292"/>
      <c r="J5" s="80"/>
      <c r="K5" s="81"/>
    </row>
    <row r="6" spans="1:15" ht="21" customHeight="1" x14ac:dyDescent="0.15">
      <c r="A6" s="259" t="s">
        <v>150</v>
      </c>
      <c r="B6" s="260"/>
      <c r="C6" s="260"/>
      <c r="D6" s="261"/>
      <c r="E6" s="293" t="s">
        <v>151</v>
      </c>
      <c r="F6" s="292"/>
      <c r="G6" s="292"/>
      <c r="H6" s="292"/>
      <c r="I6" s="292"/>
      <c r="J6" s="80"/>
      <c r="K6" s="81"/>
    </row>
    <row r="7" spans="1:15" ht="21" customHeight="1" x14ac:dyDescent="0.15">
      <c r="A7" s="259" t="s">
        <v>152</v>
      </c>
      <c r="B7" s="260"/>
      <c r="C7" s="260"/>
      <c r="D7" s="261"/>
      <c r="E7" s="293" t="s">
        <v>153</v>
      </c>
      <c r="F7" s="292"/>
      <c r="G7" s="292"/>
      <c r="H7" s="292"/>
      <c r="I7" s="292"/>
      <c r="J7" s="80"/>
      <c r="K7" s="81"/>
    </row>
    <row r="8" spans="1:15" ht="21" customHeight="1" x14ac:dyDescent="0.15">
      <c r="A8" s="258" t="s">
        <v>90</v>
      </c>
      <c r="B8" s="258"/>
      <c r="C8" s="258"/>
      <c r="D8" s="258"/>
      <c r="E8" s="293" t="s">
        <v>146</v>
      </c>
      <c r="F8" s="292"/>
      <c r="G8" s="292"/>
      <c r="H8" s="292"/>
      <c r="I8" s="292"/>
      <c r="J8" s="80"/>
      <c r="K8" s="81"/>
    </row>
    <row r="9" spans="1:15" ht="21" customHeight="1" x14ac:dyDescent="0.15">
      <c r="A9" t="s">
        <v>81</v>
      </c>
    </row>
    <row r="10" spans="1:15" ht="18" hidden="1" customHeight="1" x14ac:dyDescent="0.15">
      <c r="K10" s="285">
        <f>MAX(E15-H17,0)</f>
        <v>0</v>
      </c>
      <c r="L10" s="286"/>
      <c r="M10" s="286"/>
    </row>
    <row r="11" spans="1:15" x14ac:dyDescent="0.15">
      <c r="E11" s="287" t="s">
        <v>72</v>
      </c>
      <c r="F11" s="287"/>
    </row>
    <row r="12" spans="1:15" x14ac:dyDescent="0.15">
      <c r="A12" t="s">
        <v>71</v>
      </c>
      <c r="E12" s="288"/>
      <c r="F12" s="288"/>
      <c r="H12" s="266" t="s">
        <v>73</v>
      </c>
      <c r="I12" s="266"/>
      <c r="K12" s="266" t="s">
        <v>73</v>
      </c>
      <c r="L12" s="266"/>
      <c r="M12" s="266"/>
      <c r="N12" s="266"/>
      <c r="O12" s="266"/>
    </row>
    <row r="13" spans="1:15" ht="33.75" customHeight="1" x14ac:dyDescent="0.15">
      <c r="A13" s="262" t="s">
        <v>66</v>
      </c>
      <c r="B13" s="263"/>
      <c r="C13" s="263"/>
      <c r="D13" s="264"/>
      <c r="E13" s="289" t="s">
        <v>69</v>
      </c>
      <c r="F13" s="290"/>
      <c r="H13" s="287" t="s">
        <v>70</v>
      </c>
      <c r="I13" s="266"/>
      <c r="K13" s="291" t="s">
        <v>75</v>
      </c>
      <c r="L13" s="291"/>
      <c r="M13" s="291"/>
      <c r="N13" s="291"/>
      <c r="O13" s="291"/>
    </row>
    <row r="14" spans="1:15" ht="33.75" customHeight="1" thickBot="1" x14ac:dyDescent="0.2">
      <c r="A14" s="268"/>
      <c r="B14" s="269"/>
      <c r="C14" s="269"/>
      <c r="D14" s="270"/>
      <c r="E14" s="290"/>
      <c r="F14" s="290"/>
      <c r="H14" s="266"/>
      <c r="I14" s="266"/>
      <c r="K14" s="291"/>
      <c r="L14" s="291"/>
      <c r="M14" s="291"/>
      <c r="N14" s="291"/>
      <c r="O14" s="291"/>
    </row>
    <row r="15" spans="1:15" ht="33.75" customHeight="1" thickBot="1" x14ac:dyDescent="0.2">
      <c r="A15" s="262" t="s">
        <v>148</v>
      </c>
      <c r="B15" s="263"/>
      <c r="C15" s="263"/>
      <c r="D15" s="264"/>
      <c r="E15" s="271"/>
      <c r="F15" s="272"/>
      <c r="G15" s="277" t="s">
        <v>68</v>
      </c>
      <c r="H15" s="278">
        <f>IF(E15&gt;650000,650000,E15)</f>
        <v>0</v>
      </c>
      <c r="I15" s="279"/>
      <c r="J15" s="40"/>
      <c r="K15" s="257">
        <f>IF(H15&lt;549999,0,E15-H15)</f>
        <v>0</v>
      </c>
      <c r="L15" s="257"/>
      <c r="M15" s="257"/>
      <c r="N15" s="257"/>
      <c r="O15" s="257"/>
    </row>
    <row r="16" spans="1:15" ht="33.75" customHeight="1" x14ac:dyDescent="0.15">
      <c r="A16" s="265"/>
      <c r="B16" s="266"/>
      <c r="C16" s="266"/>
      <c r="D16" s="267"/>
      <c r="E16" s="273"/>
      <c r="F16" s="274"/>
      <c r="G16" s="277"/>
      <c r="H16" s="280" t="s">
        <v>74</v>
      </c>
      <c r="I16" s="281"/>
      <c r="J16" s="40"/>
      <c r="K16" s="282" t="s">
        <v>80</v>
      </c>
      <c r="L16" s="283"/>
      <c r="M16" s="283"/>
      <c r="N16" s="283"/>
      <c r="O16" s="283"/>
    </row>
    <row r="17" spans="1:15" ht="33.75" customHeight="1" x14ac:dyDescent="0.15">
      <c r="A17" s="268"/>
      <c r="B17" s="269"/>
      <c r="C17" s="269"/>
      <c r="D17" s="270"/>
      <c r="E17" s="275"/>
      <c r="F17" s="276"/>
      <c r="G17" s="277"/>
      <c r="H17" s="284">
        <f>IF(H15&gt;550000,0,550000)</f>
        <v>550000</v>
      </c>
      <c r="I17" s="284"/>
      <c r="J17" s="40" t="s">
        <v>68</v>
      </c>
      <c r="K17" s="257">
        <f>IF(H17=550000,K10,0)</f>
        <v>0</v>
      </c>
      <c r="L17" s="257"/>
      <c r="M17" s="257"/>
      <c r="N17" s="257"/>
      <c r="O17" s="257"/>
    </row>
    <row r="18" spans="1:15" ht="33.75" customHeight="1" x14ac:dyDescent="0.15">
      <c r="A18" s="259" t="s">
        <v>149</v>
      </c>
      <c r="B18" s="260"/>
      <c r="C18" s="260"/>
      <c r="D18" s="261"/>
      <c r="E18" s="255"/>
      <c r="F18" s="255"/>
      <c r="G18" s="40" t="s">
        <v>68</v>
      </c>
      <c r="H18" s="256">
        <f>E18*0.3+80000</f>
        <v>80000</v>
      </c>
      <c r="I18" s="256"/>
      <c r="J18" s="40" t="s">
        <v>68</v>
      </c>
      <c r="K18" s="257">
        <f>MAX(E18-H18,0)</f>
        <v>0</v>
      </c>
      <c r="L18" s="257"/>
      <c r="M18" s="257"/>
      <c r="N18" s="257"/>
      <c r="O18" s="257"/>
    </row>
    <row r="19" spans="1:15" ht="33.75" customHeight="1" x14ac:dyDescent="0.15">
      <c r="A19" s="259" t="s">
        <v>150</v>
      </c>
      <c r="B19" s="260"/>
      <c r="C19" s="260"/>
      <c r="D19" s="261"/>
      <c r="E19" s="255"/>
      <c r="F19" s="255"/>
      <c r="G19" s="40" t="s">
        <v>68</v>
      </c>
      <c r="H19" s="256">
        <f>E19*0.2+440000</f>
        <v>440000</v>
      </c>
      <c r="I19" s="256"/>
      <c r="J19" s="40" t="s">
        <v>68</v>
      </c>
      <c r="K19" s="257">
        <f>MAX(E19-H19,0)</f>
        <v>0</v>
      </c>
      <c r="L19" s="257"/>
      <c r="M19" s="257"/>
      <c r="N19" s="257"/>
      <c r="O19" s="257"/>
    </row>
    <row r="20" spans="1:15" ht="33.75" customHeight="1" x14ac:dyDescent="0.15">
      <c r="A20" s="259" t="s">
        <v>152</v>
      </c>
      <c r="B20" s="260"/>
      <c r="C20" s="260"/>
      <c r="D20" s="261"/>
      <c r="E20" s="255"/>
      <c r="F20" s="255"/>
      <c r="G20" s="40" t="s">
        <v>68</v>
      </c>
      <c r="H20" s="256">
        <f>E20*0.1+1100000</f>
        <v>1100000</v>
      </c>
      <c r="I20" s="256"/>
      <c r="J20" s="40" t="s">
        <v>68</v>
      </c>
      <c r="K20" s="257">
        <f>MAX(E20-H20,0)</f>
        <v>0</v>
      </c>
      <c r="L20" s="257"/>
      <c r="M20" s="257"/>
      <c r="N20" s="257"/>
      <c r="O20" s="257"/>
    </row>
    <row r="21" spans="1:15" ht="33.75" customHeight="1" x14ac:dyDescent="0.15">
      <c r="A21" s="258" t="s">
        <v>90</v>
      </c>
      <c r="B21" s="258"/>
      <c r="C21" s="258"/>
      <c r="D21" s="258"/>
      <c r="E21" s="255"/>
      <c r="F21" s="255"/>
      <c r="G21" s="40" t="s">
        <v>68</v>
      </c>
      <c r="H21" s="256">
        <v>1950000</v>
      </c>
      <c r="I21" s="256"/>
      <c r="J21" s="40" t="s">
        <v>68</v>
      </c>
      <c r="K21" s="257">
        <f>MAX(E21-H21,0)</f>
        <v>0</v>
      </c>
      <c r="L21" s="257"/>
      <c r="M21" s="257"/>
      <c r="N21" s="257"/>
      <c r="O21" s="257"/>
    </row>
  </sheetData>
  <mergeCells count="48">
    <mergeCell ref="H5:I5"/>
    <mergeCell ref="H6:I6"/>
    <mergeCell ref="E7:I7"/>
    <mergeCell ref="E8:I8"/>
    <mergeCell ref="A1:K1"/>
    <mergeCell ref="E2:K3"/>
    <mergeCell ref="A4:D4"/>
    <mergeCell ref="A2:D3"/>
    <mergeCell ref="E4:I4"/>
    <mergeCell ref="A5:D5"/>
    <mergeCell ref="E5:G5"/>
    <mergeCell ref="A6:D6"/>
    <mergeCell ref="E6:G6"/>
    <mergeCell ref="A7:D7"/>
    <mergeCell ref="A13:D14"/>
    <mergeCell ref="A8:D8"/>
    <mergeCell ref="K10:M10"/>
    <mergeCell ref="E11:F12"/>
    <mergeCell ref="H12:I12"/>
    <mergeCell ref="K12:O12"/>
    <mergeCell ref="E13:F14"/>
    <mergeCell ref="H13:I14"/>
    <mergeCell ref="K13:O14"/>
    <mergeCell ref="A15:D17"/>
    <mergeCell ref="E15:F17"/>
    <mergeCell ref="G15:G17"/>
    <mergeCell ref="H15:I15"/>
    <mergeCell ref="K15:O15"/>
    <mergeCell ref="H16:I16"/>
    <mergeCell ref="K16:O16"/>
    <mergeCell ref="H17:I17"/>
    <mergeCell ref="K17:O17"/>
    <mergeCell ref="E19:F19"/>
    <mergeCell ref="H19:I19"/>
    <mergeCell ref="K19:O19"/>
    <mergeCell ref="A19:D19"/>
    <mergeCell ref="E18:F18"/>
    <mergeCell ref="H18:I18"/>
    <mergeCell ref="K18:O18"/>
    <mergeCell ref="A18:D18"/>
    <mergeCell ref="E20:F20"/>
    <mergeCell ref="H20:I20"/>
    <mergeCell ref="K20:O20"/>
    <mergeCell ref="A21:D21"/>
    <mergeCell ref="E21:F21"/>
    <mergeCell ref="H21:I21"/>
    <mergeCell ref="K21:O21"/>
    <mergeCell ref="A20:D20"/>
  </mergeCells>
  <phoneticPr fontId="2"/>
  <pageMargins left="0.7" right="0.7" top="0.75" bottom="0.75" header="0.3" footer="0.3"/>
  <pageSetup paperSize="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Q72"/>
  <sheetViews>
    <sheetView topLeftCell="A50" workbookViewId="0">
      <selection activeCell="F33" sqref="F33"/>
    </sheetView>
  </sheetViews>
  <sheetFormatPr defaultRowHeight="13.5" x14ac:dyDescent="0.15"/>
  <cols>
    <col min="11" max="11" width="9" customWidth="1"/>
  </cols>
  <sheetData>
    <row r="1" spans="1:17" x14ac:dyDescent="0.15">
      <c r="A1" t="s">
        <v>82</v>
      </c>
    </row>
    <row r="2" spans="1:17" ht="29.25" customHeight="1" x14ac:dyDescent="0.15">
      <c r="A2" s="258" t="s">
        <v>83</v>
      </c>
      <c r="B2" s="258"/>
      <c r="C2" s="258"/>
      <c r="D2" s="258"/>
      <c r="E2" s="303" t="s">
        <v>84</v>
      </c>
      <c r="F2" s="304"/>
      <c r="G2" s="304"/>
      <c r="H2" s="305"/>
      <c r="I2" s="306" t="s">
        <v>92</v>
      </c>
      <c r="J2" s="288"/>
      <c r="K2" s="288"/>
      <c r="L2" s="288"/>
      <c r="M2" s="288"/>
      <c r="N2" s="288"/>
      <c r="O2" s="288"/>
      <c r="P2" s="288"/>
      <c r="Q2" s="288"/>
    </row>
    <row r="3" spans="1:17" ht="15.75" customHeight="1" x14ac:dyDescent="0.15">
      <c r="A3" s="258"/>
      <c r="B3" s="258"/>
      <c r="C3" s="258"/>
      <c r="D3" s="258"/>
      <c r="E3" s="306"/>
      <c r="F3" s="288"/>
      <c r="G3" s="288"/>
      <c r="H3" s="307"/>
      <c r="I3" s="259" t="s">
        <v>91</v>
      </c>
      <c r="J3" s="260"/>
      <c r="K3" s="261"/>
      <c r="L3" s="259" t="s">
        <v>99</v>
      </c>
      <c r="M3" s="260"/>
      <c r="N3" s="261"/>
      <c r="O3" s="259" t="s">
        <v>100</v>
      </c>
      <c r="P3" s="260"/>
      <c r="Q3" s="261"/>
    </row>
    <row r="4" spans="1:17" ht="20.25" customHeight="1" x14ac:dyDescent="0.15">
      <c r="A4" s="308" t="s">
        <v>129</v>
      </c>
      <c r="B4" s="309"/>
      <c r="C4" s="309"/>
      <c r="D4" s="310"/>
      <c r="E4" s="258" t="s">
        <v>163</v>
      </c>
      <c r="F4" s="258"/>
      <c r="G4" s="258"/>
      <c r="H4" s="258"/>
      <c r="I4" s="259" t="s">
        <v>93</v>
      </c>
      <c r="J4" s="260"/>
      <c r="K4" s="261"/>
      <c r="L4" s="259" t="s">
        <v>102</v>
      </c>
      <c r="M4" s="260"/>
      <c r="N4" s="261"/>
      <c r="O4" s="259" t="s">
        <v>101</v>
      </c>
      <c r="P4" s="260"/>
      <c r="Q4" s="261"/>
    </row>
    <row r="5" spans="1:17" ht="20.25" customHeight="1" x14ac:dyDescent="0.15">
      <c r="A5" s="311"/>
      <c r="B5" s="312"/>
      <c r="C5" s="312"/>
      <c r="D5" s="313"/>
      <c r="E5" s="258" t="s">
        <v>164</v>
      </c>
      <c r="F5" s="258"/>
      <c r="G5" s="258" t="s">
        <v>165</v>
      </c>
      <c r="H5" s="258"/>
      <c r="I5" s="259" t="s">
        <v>94</v>
      </c>
      <c r="J5" s="260"/>
      <c r="K5" s="261"/>
      <c r="L5" s="259" t="s">
        <v>103</v>
      </c>
      <c r="M5" s="260"/>
      <c r="N5" s="261"/>
      <c r="O5" s="259" t="s">
        <v>104</v>
      </c>
      <c r="P5" s="260"/>
      <c r="Q5" s="261"/>
    </row>
    <row r="6" spans="1:17" ht="20.25" customHeight="1" x14ac:dyDescent="0.15">
      <c r="A6" s="311"/>
      <c r="B6" s="312"/>
      <c r="C6" s="312"/>
      <c r="D6" s="313"/>
      <c r="E6" s="258" t="s">
        <v>166</v>
      </c>
      <c r="F6" s="258"/>
      <c r="G6" s="258" t="s">
        <v>167</v>
      </c>
      <c r="H6" s="258"/>
      <c r="I6" s="259" t="s">
        <v>95</v>
      </c>
      <c r="J6" s="260"/>
      <c r="K6" s="261"/>
      <c r="L6" s="259" t="s">
        <v>105</v>
      </c>
      <c r="M6" s="260"/>
      <c r="N6" s="261"/>
      <c r="O6" s="259" t="s">
        <v>106</v>
      </c>
      <c r="P6" s="260"/>
      <c r="Q6" s="261"/>
    </row>
    <row r="7" spans="1:17" ht="20.25" customHeight="1" x14ac:dyDescent="0.15">
      <c r="A7" s="311"/>
      <c r="B7" s="312"/>
      <c r="C7" s="312"/>
      <c r="D7" s="313"/>
      <c r="E7" s="259" t="s">
        <v>168</v>
      </c>
      <c r="F7" s="261"/>
      <c r="G7" s="259" t="s">
        <v>169</v>
      </c>
      <c r="H7" s="261"/>
      <c r="I7" s="259" t="s">
        <v>96</v>
      </c>
      <c r="J7" s="260"/>
      <c r="K7" s="261"/>
      <c r="L7" s="259" t="s">
        <v>108</v>
      </c>
      <c r="M7" s="260"/>
      <c r="N7" s="261"/>
      <c r="O7" s="259" t="s">
        <v>107</v>
      </c>
      <c r="P7" s="260"/>
      <c r="Q7" s="261"/>
    </row>
    <row r="8" spans="1:17" ht="20.25" customHeight="1" x14ac:dyDescent="0.15">
      <c r="A8" s="314"/>
      <c r="B8" s="315"/>
      <c r="C8" s="315"/>
      <c r="D8" s="316"/>
      <c r="E8" s="259" t="s">
        <v>170</v>
      </c>
      <c r="F8" s="260"/>
      <c r="G8" s="260"/>
      <c r="H8" s="261"/>
      <c r="I8" s="259" t="s">
        <v>97</v>
      </c>
      <c r="J8" s="260"/>
      <c r="K8" s="261"/>
      <c r="L8" s="259" t="s">
        <v>109</v>
      </c>
      <c r="M8" s="260"/>
      <c r="N8" s="261"/>
      <c r="O8" s="259" t="s">
        <v>110</v>
      </c>
      <c r="P8" s="260"/>
      <c r="Q8" s="261"/>
    </row>
    <row r="9" spans="1:17" ht="20.25" customHeight="1" x14ac:dyDescent="0.15">
      <c r="A9" s="308" t="s">
        <v>130</v>
      </c>
      <c r="B9" s="309"/>
      <c r="C9" s="309"/>
      <c r="D9" s="310"/>
      <c r="E9" s="258" t="s">
        <v>171</v>
      </c>
      <c r="F9" s="258"/>
      <c r="G9" s="258"/>
      <c r="H9" s="258"/>
      <c r="I9" s="259" t="s">
        <v>98</v>
      </c>
      <c r="J9" s="260"/>
      <c r="K9" s="261"/>
      <c r="L9" s="259" t="s">
        <v>111</v>
      </c>
      <c r="M9" s="260"/>
      <c r="N9" s="261"/>
      <c r="O9" s="259" t="s">
        <v>112</v>
      </c>
      <c r="P9" s="260"/>
      <c r="Q9" s="261"/>
    </row>
    <row r="10" spans="1:17" ht="20.25" customHeight="1" x14ac:dyDescent="0.15">
      <c r="A10" s="311"/>
      <c r="B10" s="312"/>
      <c r="C10" s="312"/>
      <c r="D10" s="313"/>
      <c r="E10" s="258" t="s">
        <v>172</v>
      </c>
      <c r="F10" s="258"/>
      <c r="G10" s="258" t="s">
        <v>165</v>
      </c>
      <c r="H10" s="258"/>
      <c r="I10" s="259" t="s">
        <v>94</v>
      </c>
      <c r="J10" s="260"/>
      <c r="K10" s="261"/>
      <c r="L10" s="259" t="s">
        <v>103</v>
      </c>
      <c r="M10" s="260"/>
      <c r="N10" s="261"/>
      <c r="O10" s="259" t="s">
        <v>104</v>
      </c>
      <c r="P10" s="260"/>
      <c r="Q10" s="261"/>
    </row>
    <row r="11" spans="1:17" ht="20.25" customHeight="1" x14ac:dyDescent="0.15">
      <c r="A11" s="311"/>
      <c r="B11" s="312"/>
      <c r="C11" s="312"/>
      <c r="D11" s="313"/>
      <c r="E11" s="258" t="s">
        <v>166</v>
      </c>
      <c r="F11" s="258"/>
      <c r="G11" s="258" t="s">
        <v>167</v>
      </c>
      <c r="H11" s="258"/>
      <c r="I11" s="259" t="s">
        <v>95</v>
      </c>
      <c r="J11" s="260"/>
      <c r="K11" s="261"/>
      <c r="L11" s="259" t="s">
        <v>105</v>
      </c>
      <c r="M11" s="260"/>
      <c r="N11" s="261"/>
      <c r="O11" s="259" t="s">
        <v>106</v>
      </c>
      <c r="P11" s="260"/>
      <c r="Q11" s="261"/>
    </row>
    <row r="12" spans="1:17" ht="20.25" customHeight="1" x14ac:dyDescent="0.15">
      <c r="A12" s="311"/>
      <c r="B12" s="312"/>
      <c r="C12" s="312"/>
      <c r="D12" s="313"/>
      <c r="E12" s="259" t="s">
        <v>168</v>
      </c>
      <c r="F12" s="261"/>
      <c r="G12" s="259" t="s">
        <v>169</v>
      </c>
      <c r="H12" s="261"/>
      <c r="I12" s="259" t="s">
        <v>96</v>
      </c>
      <c r="J12" s="260"/>
      <c r="K12" s="261"/>
      <c r="L12" s="259" t="s">
        <v>108</v>
      </c>
      <c r="M12" s="260"/>
      <c r="N12" s="261"/>
      <c r="O12" s="259" t="s">
        <v>107</v>
      </c>
      <c r="P12" s="260"/>
      <c r="Q12" s="261"/>
    </row>
    <row r="13" spans="1:17" ht="20.25" customHeight="1" x14ac:dyDescent="0.15">
      <c r="A13" s="314"/>
      <c r="B13" s="315"/>
      <c r="C13" s="315"/>
      <c r="D13" s="316"/>
      <c r="E13" s="259" t="s">
        <v>169</v>
      </c>
      <c r="F13" s="260"/>
      <c r="G13" s="260"/>
      <c r="H13" s="261"/>
      <c r="I13" s="259" t="s">
        <v>97</v>
      </c>
      <c r="J13" s="260"/>
      <c r="K13" s="261"/>
      <c r="L13" s="259" t="s">
        <v>109</v>
      </c>
      <c r="M13" s="260"/>
      <c r="N13" s="261"/>
      <c r="O13" s="259" t="s">
        <v>110</v>
      </c>
      <c r="P13" s="260"/>
      <c r="Q13" s="261"/>
    </row>
    <row r="15" spans="1:17" x14ac:dyDescent="0.15">
      <c r="A15" s="85" t="s">
        <v>113</v>
      </c>
      <c r="F15" t="s">
        <v>86</v>
      </c>
      <c r="J15" s="269" t="s">
        <v>73</v>
      </c>
      <c r="K15" s="269"/>
      <c r="L15" s="269"/>
    </row>
    <row r="16" spans="1:17" x14ac:dyDescent="0.15">
      <c r="A16" s="258" t="s">
        <v>83</v>
      </c>
      <c r="B16" s="258"/>
      <c r="C16" s="258"/>
      <c r="D16" s="258"/>
      <c r="F16" s="289" t="s">
        <v>85</v>
      </c>
      <c r="G16" s="290"/>
      <c r="H16" s="290"/>
      <c r="J16" s="291" t="s">
        <v>87</v>
      </c>
      <c r="K16" s="258"/>
      <c r="L16" s="258"/>
    </row>
    <row r="17" spans="1:12" x14ac:dyDescent="0.15">
      <c r="A17" s="258"/>
      <c r="B17" s="258"/>
      <c r="C17" s="258"/>
      <c r="D17" s="258"/>
      <c r="F17" s="290"/>
      <c r="G17" s="290"/>
      <c r="H17" s="290"/>
      <c r="J17" s="258"/>
      <c r="K17" s="258"/>
      <c r="L17" s="258"/>
    </row>
    <row r="18" spans="1:12" x14ac:dyDescent="0.15">
      <c r="A18" s="294" t="s">
        <v>129</v>
      </c>
      <c r="B18" s="296"/>
      <c r="C18" s="296"/>
      <c r="D18" s="296"/>
      <c r="F18" s="290"/>
      <c r="G18" s="290"/>
      <c r="H18" s="290"/>
      <c r="J18" s="258"/>
      <c r="K18" s="258"/>
      <c r="L18" s="258"/>
    </row>
    <row r="19" spans="1:12" x14ac:dyDescent="0.15">
      <c r="A19" s="296"/>
      <c r="B19" s="296"/>
      <c r="C19" s="296"/>
      <c r="D19" s="296"/>
      <c r="F19" s="290"/>
      <c r="G19" s="290"/>
      <c r="H19" s="290"/>
      <c r="J19" s="258"/>
      <c r="K19" s="258"/>
      <c r="L19" s="258"/>
    </row>
    <row r="20" spans="1:12" ht="20.25" customHeight="1" x14ac:dyDescent="0.15">
      <c r="A20" s="258" t="s">
        <v>163</v>
      </c>
      <c r="B20" s="258"/>
      <c r="C20" s="258"/>
      <c r="D20" s="258"/>
      <c r="E20" s="51" t="s">
        <v>68</v>
      </c>
      <c r="F20" s="255"/>
      <c r="G20" s="255"/>
      <c r="H20" s="255"/>
      <c r="I20" s="52" t="s">
        <v>68</v>
      </c>
      <c r="J20" s="257">
        <f>MAX(F20-600000,0)</f>
        <v>0</v>
      </c>
      <c r="K20" s="257"/>
      <c r="L20" s="257"/>
    </row>
    <row r="21" spans="1:12" ht="20.25" customHeight="1" x14ac:dyDescent="0.15">
      <c r="A21" s="258" t="s">
        <v>164</v>
      </c>
      <c r="B21" s="258"/>
      <c r="C21" s="258" t="s">
        <v>165</v>
      </c>
      <c r="D21" s="258"/>
      <c r="E21" s="51" t="s">
        <v>68</v>
      </c>
      <c r="F21" s="255"/>
      <c r="G21" s="255"/>
      <c r="H21" s="255"/>
      <c r="I21" s="52" t="s">
        <v>68</v>
      </c>
      <c r="J21" s="257">
        <f>MAX(F21*0.75-275000,0)</f>
        <v>0</v>
      </c>
      <c r="K21" s="257"/>
      <c r="L21" s="257"/>
    </row>
    <row r="22" spans="1:12" ht="20.25" customHeight="1" x14ac:dyDescent="0.15">
      <c r="A22" s="258" t="s">
        <v>166</v>
      </c>
      <c r="B22" s="258"/>
      <c r="C22" s="258" t="s">
        <v>167</v>
      </c>
      <c r="D22" s="258"/>
      <c r="E22" s="51" t="s">
        <v>68</v>
      </c>
      <c r="F22" s="255"/>
      <c r="G22" s="255"/>
      <c r="H22" s="255"/>
      <c r="I22" s="52" t="s">
        <v>68</v>
      </c>
      <c r="J22" s="257">
        <f>MAX(F22*0.85-685000,0)</f>
        <v>0</v>
      </c>
      <c r="K22" s="257"/>
      <c r="L22" s="257"/>
    </row>
    <row r="23" spans="1:12" ht="20.25" customHeight="1" x14ac:dyDescent="0.15">
      <c r="A23" s="259" t="s">
        <v>168</v>
      </c>
      <c r="B23" s="261"/>
      <c r="C23" s="259" t="s">
        <v>169</v>
      </c>
      <c r="D23" s="261"/>
      <c r="E23" s="51" t="s">
        <v>68</v>
      </c>
      <c r="F23" s="255"/>
      <c r="G23" s="255"/>
      <c r="H23" s="255"/>
      <c r="I23" s="52" t="s">
        <v>68</v>
      </c>
      <c r="J23" s="257">
        <f>MAX(F23*0.95-1455000,0)</f>
        <v>0</v>
      </c>
      <c r="K23" s="257"/>
      <c r="L23" s="257"/>
    </row>
    <row r="24" spans="1:12" ht="20.25" customHeight="1" x14ac:dyDescent="0.15">
      <c r="A24" s="259" t="s">
        <v>170</v>
      </c>
      <c r="B24" s="260"/>
      <c r="C24" s="260"/>
      <c r="D24" s="261"/>
      <c r="E24" s="51" t="s">
        <v>68</v>
      </c>
      <c r="F24" s="255"/>
      <c r="G24" s="255"/>
      <c r="H24" s="255"/>
      <c r="I24" s="52" t="s">
        <v>68</v>
      </c>
      <c r="J24" s="257">
        <f>MAX(F24-1955000,0)</f>
        <v>0</v>
      </c>
      <c r="K24" s="257"/>
      <c r="L24" s="257"/>
    </row>
    <row r="25" spans="1:12" ht="14.25" customHeight="1" x14ac:dyDescent="0.15">
      <c r="F25" s="53"/>
      <c r="G25" s="53"/>
      <c r="H25" s="53"/>
      <c r="I25" s="53"/>
      <c r="J25" s="53"/>
      <c r="K25" s="53"/>
      <c r="L25" s="53"/>
    </row>
    <row r="26" spans="1:12" ht="14.25" customHeight="1" x14ac:dyDescent="0.15">
      <c r="A26" s="294" t="s">
        <v>130</v>
      </c>
      <c r="B26" s="295"/>
      <c r="C26" s="295"/>
      <c r="D26" s="295"/>
      <c r="F26" s="53"/>
      <c r="G26" s="53"/>
      <c r="H26" s="53"/>
      <c r="I26" s="53"/>
      <c r="J26" s="53"/>
      <c r="K26" s="53"/>
      <c r="L26" s="53"/>
    </row>
    <row r="27" spans="1:12" ht="20.25" customHeight="1" x14ac:dyDescent="0.15">
      <c r="A27" s="295"/>
      <c r="B27" s="295"/>
      <c r="C27" s="295"/>
      <c r="D27" s="295"/>
      <c r="F27" s="53"/>
      <c r="G27" s="53"/>
      <c r="H27" s="53"/>
      <c r="I27" s="53"/>
      <c r="J27" s="53"/>
      <c r="K27" s="53"/>
      <c r="L27" s="53"/>
    </row>
    <row r="28" spans="1:12" ht="20.25" customHeight="1" x14ac:dyDescent="0.15">
      <c r="A28" s="258" t="s">
        <v>171</v>
      </c>
      <c r="B28" s="258"/>
      <c r="C28" s="258"/>
      <c r="D28" s="258"/>
      <c r="E28" s="51" t="s">
        <v>68</v>
      </c>
      <c r="F28" s="255"/>
      <c r="G28" s="255"/>
      <c r="H28" s="255"/>
      <c r="I28" s="52" t="s">
        <v>68</v>
      </c>
      <c r="J28" s="257">
        <f>MAX(F28-1100000,0)</f>
        <v>0</v>
      </c>
      <c r="K28" s="257"/>
      <c r="L28" s="257"/>
    </row>
    <row r="29" spans="1:12" ht="20.25" customHeight="1" x14ac:dyDescent="0.15">
      <c r="A29" s="258" t="s">
        <v>172</v>
      </c>
      <c r="B29" s="258"/>
      <c r="C29" s="258" t="s">
        <v>165</v>
      </c>
      <c r="D29" s="258"/>
      <c r="E29" s="51" t="s">
        <v>68</v>
      </c>
      <c r="F29" s="255"/>
      <c r="G29" s="255"/>
      <c r="H29" s="255"/>
      <c r="I29" s="52" t="s">
        <v>68</v>
      </c>
      <c r="J29" s="257">
        <f>MAX(F29*0.75-275000,0)</f>
        <v>0</v>
      </c>
      <c r="K29" s="257"/>
      <c r="L29" s="257"/>
    </row>
    <row r="30" spans="1:12" ht="20.25" customHeight="1" x14ac:dyDescent="0.15">
      <c r="A30" s="258" t="s">
        <v>166</v>
      </c>
      <c r="B30" s="258"/>
      <c r="C30" s="258" t="s">
        <v>167</v>
      </c>
      <c r="D30" s="258"/>
      <c r="E30" s="51" t="s">
        <v>68</v>
      </c>
      <c r="F30" s="255"/>
      <c r="G30" s="255"/>
      <c r="H30" s="255"/>
      <c r="I30" s="52" t="s">
        <v>68</v>
      </c>
      <c r="J30" s="257">
        <f>MAX(F30*0.85-685000,0)</f>
        <v>0</v>
      </c>
      <c r="K30" s="257"/>
      <c r="L30" s="257"/>
    </row>
    <row r="31" spans="1:12" ht="21.75" customHeight="1" x14ac:dyDescent="0.15">
      <c r="A31" s="259" t="s">
        <v>168</v>
      </c>
      <c r="B31" s="261"/>
      <c r="C31" s="259" t="s">
        <v>169</v>
      </c>
      <c r="D31" s="261"/>
      <c r="E31" s="51" t="s">
        <v>68</v>
      </c>
      <c r="F31" s="255"/>
      <c r="G31" s="255"/>
      <c r="H31" s="255"/>
      <c r="I31" s="52" t="s">
        <v>68</v>
      </c>
      <c r="J31" s="257">
        <f>MAX(F31*0.95-1455000,0)</f>
        <v>0</v>
      </c>
      <c r="K31" s="257"/>
      <c r="L31" s="257"/>
    </row>
    <row r="32" spans="1:12" ht="21.75" customHeight="1" x14ac:dyDescent="0.15">
      <c r="A32" s="259" t="s">
        <v>169</v>
      </c>
      <c r="B32" s="260"/>
      <c r="C32" s="260"/>
      <c r="D32" s="261"/>
      <c r="E32" s="51" t="s">
        <v>68</v>
      </c>
      <c r="F32" s="255"/>
      <c r="G32" s="255"/>
      <c r="H32" s="255"/>
      <c r="I32" s="52" t="s">
        <v>68</v>
      </c>
      <c r="J32" s="257">
        <f>MAX(F32-1955000,0)</f>
        <v>0</v>
      </c>
      <c r="K32" s="257"/>
      <c r="L32" s="257"/>
    </row>
    <row r="35" spans="1:12" x14ac:dyDescent="0.15">
      <c r="A35" s="85" t="s">
        <v>114</v>
      </c>
      <c r="F35" t="s">
        <v>86</v>
      </c>
      <c r="J35" s="269" t="s">
        <v>73</v>
      </c>
      <c r="K35" s="269"/>
      <c r="L35" s="269"/>
    </row>
    <row r="36" spans="1:12" x14ac:dyDescent="0.15">
      <c r="A36" s="258" t="s">
        <v>83</v>
      </c>
      <c r="B36" s="258"/>
      <c r="C36" s="258"/>
      <c r="D36" s="258"/>
      <c r="F36" s="289" t="s">
        <v>85</v>
      </c>
      <c r="G36" s="290"/>
      <c r="H36" s="290"/>
      <c r="J36" s="291" t="s">
        <v>87</v>
      </c>
      <c r="K36" s="258"/>
      <c r="L36" s="258"/>
    </row>
    <row r="37" spans="1:12" x14ac:dyDescent="0.15">
      <c r="A37" s="258"/>
      <c r="B37" s="258"/>
      <c r="C37" s="258"/>
      <c r="D37" s="258"/>
      <c r="F37" s="290"/>
      <c r="G37" s="290"/>
      <c r="H37" s="290"/>
      <c r="J37" s="258"/>
      <c r="K37" s="258"/>
      <c r="L37" s="258"/>
    </row>
    <row r="38" spans="1:12" ht="13.5" customHeight="1" x14ac:dyDescent="0.15">
      <c r="A38" s="297" t="s">
        <v>131</v>
      </c>
      <c r="B38" s="298"/>
      <c r="C38" s="298"/>
      <c r="D38" s="299"/>
      <c r="F38" s="290"/>
      <c r="G38" s="290"/>
      <c r="H38" s="290"/>
      <c r="J38" s="258"/>
      <c r="K38" s="258"/>
      <c r="L38" s="258"/>
    </row>
    <row r="39" spans="1:12" x14ac:dyDescent="0.15">
      <c r="A39" s="300"/>
      <c r="B39" s="301"/>
      <c r="C39" s="301"/>
      <c r="D39" s="302"/>
      <c r="F39" s="290"/>
      <c r="G39" s="290"/>
      <c r="H39" s="290"/>
      <c r="J39" s="258"/>
      <c r="K39" s="258"/>
      <c r="L39" s="258"/>
    </row>
    <row r="40" spans="1:12" ht="25.5" x14ac:dyDescent="0.15">
      <c r="A40" s="258" t="s">
        <v>163</v>
      </c>
      <c r="B40" s="258"/>
      <c r="C40" s="258"/>
      <c r="D40" s="258"/>
      <c r="E40" s="51" t="s">
        <v>68</v>
      </c>
      <c r="F40" s="255"/>
      <c r="G40" s="255"/>
      <c r="H40" s="255"/>
      <c r="I40" s="52" t="s">
        <v>68</v>
      </c>
      <c r="J40" s="257">
        <f>MAX(F40-500000,0)</f>
        <v>0</v>
      </c>
      <c r="K40" s="257"/>
      <c r="L40" s="257"/>
    </row>
    <row r="41" spans="1:12" ht="25.5" x14ac:dyDescent="0.15">
      <c r="A41" s="258" t="s">
        <v>164</v>
      </c>
      <c r="B41" s="258"/>
      <c r="C41" s="258" t="s">
        <v>165</v>
      </c>
      <c r="D41" s="258"/>
      <c r="E41" s="51" t="s">
        <v>68</v>
      </c>
      <c r="F41" s="255"/>
      <c r="G41" s="255"/>
      <c r="H41" s="255"/>
      <c r="I41" s="52" t="s">
        <v>68</v>
      </c>
      <c r="J41" s="257">
        <f>MAX(F41*0.75-175000,0)</f>
        <v>0</v>
      </c>
      <c r="K41" s="257"/>
      <c r="L41" s="257"/>
    </row>
    <row r="42" spans="1:12" ht="25.5" x14ac:dyDescent="0.15">
      <c r="A42" s="258" t="s">
        <v>166</v>
      </c>
      <c r="B42" s="258"/>
      <c r="C42" s="258" t="s">
        <v>167</v>
      </c>
      <c r="D42" s="258"/>
      <c r="E42" s="51" t="s">
        <v>68</v>
      </c>
      <c r="F42" s="255"/>
      <c r="G42" s="255"/>
      <c r="H42" s="255"/>
      <c r="I42" s="52" t="s">
        <v>68</v>
      </c>
      <c r="J42" s="257">
        <f>MAX(F42*0.85-585000,0)</f>
        <v>0</v>
      </c>
      <c r="K42" s="257"/>
      <c r="L42" s="257"/>
    </row>
    <row r="43" spans="1:12" ht="25.5" x14ac:dyDescent="0.15">
      <c r="A43" s="259" t="s">
        <v>168</v>
      </c>
      <c r="B43" s="261"/>
      <c r="C43" s="259" t="s">
        <v>169</v>
      </c>
      <c r="D43" s="261"/>
      <c r="E43" s="51" t="s">
        <v>68</v>
      </c>
      <c r="F43" s="255"/>
      <c r="G43" s="255"/>
      <c r="H43" s="255"/>
      <c r="I43" s="52" t="s">
        <v>68</v>
      </c>
      <c r="J43" s="257">
        <f>MAX(F43*0.95-1355000,0)</f>
        <v>0</v>
      </c>
      <c r="K43" s="257"/>
      <c r="L43" s="257"/>
    </row>
    <row r="44" spans="1:12" ht="25.5" x14ac:dyDescent="0.15">
      <c r="A44" s="259" t="s">
        <v>170</v>
      </c>
      <c r="B44" s="260"/>
      <c r="C44" s="260"/>
      <c r="D44" s="261"/>
      <c r="E44" s="51" t="s">
        <v>68</v>
      </c>
      <c r="F44" s="255"/>
      <c r="G44" s="255"/>
      <c r="H44" s="255"/>
      <c r="I44" s="52" t="s">
        <v>68</v>
      </c>
      <c r="J44" s="257">
        <f>MAX(F44-1855000,0)</f>
        <v>0</v>
      </c>
      <c r="K44" s="257"/>
      <c r="L44" s="257"/>
    </row>
    <row r="45" spans="1:12" x14ac:dyDescent="0.15">
      <c r="F45" s="53"/>
      <c r="G45" s="53"/>
      <c r="H45" s="53"/>
      <c r="I45" s="53"/>
      <c r="J45" s="53"/>
      <c r="K45" s="53"/>
      <c r="L45" s="53"/>
    </row>
    <row r="46" spans="1:12" x14ac:dyDescent="0.15">
      <c r="A46" s="294" t="s">
        <v>132</v>
      </c>
      <c r="B46" s="295"/>
      <c r="C46" s="295"/>
      <c r="D46" s="295"/>
      <c r="F46" s="53"/>
      <c r="G46" s="53"/>
      <c r="H46" s="53"/>
      <c r="I46" s="53"/>
      <c r="J46" s="53"/>
      <c r="K46" s="53"/>
      <c r="L46" s="53"/>
    </row>
    <row r="47" spans="1:12" x14ac:dyDescent="0.15">
      <c r="A47" s="295"/>
      <c r="B47" s="295"/>
      <c r="C47" s="295"/>
      <c r="D47" s="295"/>
      <c r="F47" s="53"/>
      <c r="G47" s="53"/>
      <c r="H47" s="53"/>
      <c r="I47" s="53"/>
      <c r="J47" s="53"/>
      <c r="K47" s="53"/>
      <c r="L47" s="53"/>
    </row>
    <row r="48" spans="1:12" ht="25.5" x14ac:dyDescent="0.15">
      <c r="A48" s="258" t="s">
        <v>171</v>
      </c>
      <c r="B48" s="258"/>
      <c r="C48" s="258"/>
      <c r="D48" s="258"/>
      <c r="E48" s="51" t="s">
        <v>68</v>
      </c>
      <c r="F48" s="255"/>
      <c r="G48" s="255"/>
      <c r="H48" s="255"/>
      <c r="I48" s="52" t="s">
        <v>68</v>
      </c>
      <c r="J48" s="257">
        <f>MAX(F48-1000000,0)</f>
        <v>0</v>
      </c>
      <c r="K48" s="257"/>
      <c r="L48" s="257"/>
    </row>
    <row r="49" spans="1:12" ht="25.5" x14ac:dyDescent="0.15">
      <c r="A49" s="258" t="s">
        <v>172</v>
      </c>
      <c r="B49" s="258"/>
      <c r="C49" s="258" t="s">
        <v>165</v>
      </c>
      <c r="D49" s="258"/>
      <c r="E49" s="51" t="s">
        <v>68</v>
      </c>
      <c r="F49" s="255"/>
      <c r="G49" s="255"/>
      <c r="H49" s="255"/>
      <c r="I49" s="52" t="s">
        <v>68</v>
      </c>
      <c r="J49" s="257">
        <f>MAX(F49*0.75-175000,0)</f>
        <v>0</v>
      </c>
      <c r="K49" s="257"/>
      <c r="L49" s="257"/>
    </row>
    <row r="50" spans="1:12" ht="25.5" x14ac:dyDescent="0.15">
      <c r="A50" s="258" t="s">
        <v>166</v>
      </c>
      <c r="B50" s="258"/>
      <c r="C50" s="258" t="s">
        <v>167</v>
      </c>
      <c r="D50" s="258"/>
      <c r="E50" s="51" t="s">
        <v>68</v>
      </c>
      <c r="F50" s="255"/>
      <c r="G50" s="255"/>
      <c r="H50" s="255"/>
      <c r="I50" s="52" t="s">
        <v>68</v>
      </c>
      <c r="J50" s="257">
        <f>MAX(F50*0.85-585000,0)</f>
        <v>0</v>
      </c>
      <c r="K50" s="257"/>
      <c r="L50" s="257"/>
    </row>
    <row r="51" spans="1:12" ht="25.5" x14ac:dyDescent="0.15">
      <c r="A51" s="259" t="s">
        <v>168</v>
      </c>
      <c r="B51" s="261"/>
      <c r="C51" s="259" t="s">
        <v>169</v>
      </c>
      <c r="D51" s="261"/>
      <c r="E51" s="51" t="s">
        <v>68</v>
      </c>
      <c r="F51" s="255"/>
      <c r="G51" s="255"/>
      <c r="H51" s="255"/>
      <c r="I51" s="52" t="s">
        <v>68</v>
      </c>
      <c r="J51" s="257">
        <f>MAX(F51*0.95-1355000,0)</f>
        <v>0</v>
      </c>
      <c r="K51" s="257"/>
      <c r="L51" s="257"/>
    </row>
    <row r="52" spans="1:12" ht="25.5" x14ac:dyDescent="0.15">
      <c r="A52" s="259" t="s">
        <v>169</v>
      </c>
      <c r="B52" s="260"/>
      <c r="C52" s="260"/>
      <c r="D52" s="261"/>
      <c r="E52" s="51" t="s">
        <v>68</v>
      </c>
      <c r="F52" s="255"/>
      <c r="G52" s="255"/>
      <c r="H52" s="255"/>
      <c r="I52" s="52" t="s">
        <v>68</v>
      </c>
      <c r="J52" s="257">
        <f>MAX(F52-1855000,0)</f>
        <v>0</v>
      </c>
      <c r="K52" s="257"/>
      <c r="L52" s="257"/>
    </row>
    <row r="55" spans="1:12" x14ac:dyDescent="0.15">
      <c r="A55" s="85" t="s">
        <v>115</v>
      </c>
      <c r="F55" t="s">
        <v>86</v>
      </c>
      <c r="J55" s="269" t="s">
        <v>73</v>
      </c>
      <c r="K55" s="269"/>
      <c r="L55" s="269"/>
    </row>
    <row r="56" spans="1:12" x14ac:dyDescent="0.15">
      <c r="A56" s="258" t="s">
        <v>83</v>
      </c>
      <c r="B56" s="258"/>
      <c r="C56" s="258"/>
      <c r="D56" s="258"/>
      <c r="F56" s="289" t="s">
        <v>85</v>
      </c>
      <c r="G56" s="290"/>
      <c r="H56" s="290"/>
      <c r="J56" s="291" t="s">
        <v>87</v>
      </c>
      <c r="K56" s="258"/>
      <c r="L56" s="258"/>
    </row>
    <row r="57" spans="1:12" x14ac:dyDescent="0.15">
      <c r="A57" s="258"/>
      <c r="B57" s="258"/>
      <c r="C57" s="258"/>
      <c r="D57" s="258"/>
      <c r="F57" s="290"/>
      <c r="G57" s="290"/>
      <c r="H57" s="290"/>
      <c r="J57" s="258"/>
      <c r="K57" s="258"/>
      <c r="L57" s="258"/>
    </row>
    <row r="58" spans="1:12" x14ac:dyDescent="0.15">
      <c r="A58" s="294" t="s">
        <v>131</v>
      </c>
      <c r="B58" s="296"/>
      <c r="C58" s="296"/>
      <c r="D58" s="296"/>
      <c r="F58" s="290"/>
      <c r="G58" s="290"/>
      <c r="H58" s="290"/>
      <c r="J58" s="258"/>
      <c r="K58" s="258"/>
      <c r="L58" s="258"/>
    </row>
    <row r="59" spans="1:12" x14ac:dyDescent="0.15">
      <c r="A59" s="296"/>
      <c r="B59" s="296"/>
      <c r="C59" s="296"/>
      <c r="D59" s="296"/>
      <c r="F59" s="290"/>
      <c r="G59" s="290"/>
      <c r="H59" s="290"/>
      <c r="J59" s="258"/>
      <c r="K59" s="258"/>
      <c r="L59" s="258"/>
    </row>
    <row r="60" spans="1:12" ht="25.5" x14ac:dyDescent="0.15">
      <c r="A60" s="258" t="s">
        <v>163</v>
      </c>
      <c r="B60" s="258"/>
      <c r="C60" s="258"/>
      <c r="D60" s="258"/>
      <c r="E60" s="51" t="s">
        <v>68</v>
      </c>
      <c r="F60" s="255"/>
      <c r="G60" s="255"/>
      <c r="H60" s="255"/>
      <c r="I60" s="52" t="s">
        <v>68</v>
      </c>
      <c r="J60" s="257">
        <f>MAX(F60-400000,0)</f>
        <v>0</v>
      </c>
      <c r="K60" s="257"/>
      <c r="L60" s="257"/>
    </row>
    <row r="61" spans="1:12" ht="25.5" x14ac:dyDescent="0.15">
      <c r="A61" s="258" t="s">
        <v>164</v>
      </c>
      <c r="B61" s="258"/>
      <c r="C61" s="258" t="s">
        <v>165</v>
      </c>
      <c r="D61" s="258"/>
      <c r="E61" s="51" t="s">
        <v>68</v>
      </c>
      <c r="F61" s="255"/>
      <c r="G61" s="255"/>
      <c r="H61" s="255"/>
      <c r="I61" s="52" t="s">
        <v>68</v>
      </c>
      <c r="J61" s="257">
        <f>MAX(F61*0.75-75000,0)</f>
        <v>0</v>
      </c>
      <c r="K61" s="257"/>
      <c r="L61" s="257"/>
    </row>
    <row r="62" spans="1:12" ht="25.5" x14ac:dyDescent="0.15">
      <c r="A62" s="258" t="s">
        <v>166</v>
      </c>
      <c r="B62" s="258"/>
      <c r="C62" s="258" t="s">
        <v>167</v>
      </c>
      <c r="D62" s="258"/>
      <c r="E62" s="51" t="s">
        <v>68</v>
      </c>
      <c r="F62" s="255"/>
      <c r="G62" s="255"/>
      <c r="H62" s="255"/>
      <c r="I62" s="52" t="s">
        <v>68</v>
      </c>
      <c r="J62" s="257">
        <f>MAX(F62*0.85-485000,0)</f>
        <v>0</v>
      </c>
      <c r="K62" s="257"/>
      <c r="L62" s="257"/>
    </row>
    <row r="63" spans="1:12" ht="25.5" x14ac:dyDescent="0.15">
      <c r="A63" s="259" t="s">
        <v>168</v>
      </c>
      <c r="B63" s="261"/>
      <c r="C63" s="259" t="s">
        <v>169</v>
      </c>
      <c r="D63" s="261"/>
      <c r="E63" s="51" t="s">
        <v>68</v>
      </c>
      <c r="F63" s="255"/>
      <c r="G63" s="255"/>
      <c r="H63" s="255"/>
      <c r="I63" s="52" t="s">
        <v>68</v>
      </c>
      <c r="J63" s="257">
        <f>MAX(F63*0.95-1255000,0)</f>
        <v>0</v>
      </c>
      <c r="K63" s="257"/>
      <c r="L63" s="257"/>
    </row>
    <row r="64" spans="1:12" ht="25.5" x14ac:dyDescent="0.15">
      <c r="A64" s="259" t="s">
        <v>170</v>
      </c>
      <c r="B64" s="260"/>
      <c r="C64" s="260"/>
      <c r="D64" s="261"/>
      <c r="E64" s="51" t="s">
        <v>68</v>
      </c>
      <c r="F64" s="255"/>
      <c r="G64" s="255"/>
      <c r="H64" s="255"/>
      <c r="I64" s="52" t="s">
        <v>68</v>
      </c>
      <c r="J64" s="257">
        <f>MAX(F64-1755000,0)</f>
        <v>0</v>
      </c>
      <c r="K64" s="257"/>
      <c r="L64" s="257"/>
    </row>
    <row r="65" spans="1:12" x14ac:dyDescent="0.15">
      <c r="F65" s="53"/>
      <c r="G65" s="53"/>
      <c r="H65" s="53"/>
      <c r="I65" s="53"/>
      <c r="J65" s="53"/>
      <c r="K65" s="53"/>
      <c r="L65" s="53"/>
    </row>
    <row r="66" spans="1:12" x14ac:dyDescent="0.15">
      <c r="A66" s="294" t="s">
        <v>132</v>
      </c>
      <c r="B66" s="295"/>
      <c r="C66" s="295"/>
      <c r="D66" s="295"/>
      <c r="F66" s="53"/>
      <c r="G66" s="53"/>
      <c r="H66" s="53"/>
      <c r="I66" s="53"/>
      <c r="J66" s="53"/>
      <c r="K66" s="53"/>
      <c r="L66" s="53"/>
    </row>
    <row r="67" spans="1:12" x14ac:dyDescent="0.15">
      <c r="A67" s="295"/>
      <c r="B67" s="295"/>
      <c r="C67" s="295"/>
      <c r="D67" s="295"/>
      <c r="F67" s="53"/>
      <c r="G67" s="53"/>
      <c r="H67" s="53"/>
      <c r="I67" s="53"/>
      <c r="J67" s="53"/>
      <c r="K67" s="53"/>
      <c r="L67" s="53"/>
    </row>
    <row r="68" spans="1:12" ht="25.5" x14ac:dyDescent="0.15">
      <c r="A68" s="258" t="s">
        <v>171</v>
      </c>
      <c r="B68" s="258"/>
      <c r="C68" s="258"/>
      <c r="D68" s="258"/>
      <c r="E68" s="51" t="s">
        <v>68</v>
      </c>
      <c r="F68" s="255"/>
      <c r="G68" s="255"/>
      <c r="H68" s="255"/>
      <c r="I68" s="52" t="s">
        <v>68</v>
      </c>
      <c r="J68" s="257">
        <f>MAX(F68-900000,0)</f>
        <v>0</v>
      </c>
      <c r="K68" s="257"/>
      <c r="L68" s="257"/>
    </row>
    <row r="69" spans="1:12" ht="25.5" x14ac:dyDescent="0.15">
      <c r="A69" s="258" t="s">
        <v>172</v>
      </c>
      <c r="B69" s="258"/>
      <c r="C69" s="258" t="s">
        <v>165</v>
      </c>
      <c r="D69" s="258"/>
      <c r="E69" s="51" t="s">
        <v>68</v>
      </c>
      <c r="F69" s="255"/>
      <c r="G69" s="255"/>
      <c r="H69" s="255"/>
      <c r="I69" s="52" t="s">
        <v>68</v>
      </c>
      <c r="J69" s="257">
        <f>MAX(F69*0.75-75000,0)</f>
        <v>0</v>
      </c>
      <c r="K69" s="257"/>
      <c r="L69" s="257"/>
    </row>
    <row r="70" spans="1:12" ht="25.5" x14ac:dyDescent="0.15">
      <c r="A70" s="258" t="s">
        <v>166</v>
      </c>
      <c r="B70" s="258"/>
      <c r="C70" s="258" t="s">
        <v>167</v>
      </c>
      <c r="D70" s="258"/>
      <c r="E70" s="51" t="s">
        <v>68</v>
      </c>
      <c r="F70" s="255"/>
      <c r="G70" s="255"/>
      <c r="H70" s="255"/>
      <c r="I70" s="52" t="s">
        <v>68</v>
      </c>
      <c r="J70" s="257">
        <f>MAX(F70*0.85-485000,0)</f>
        <v>0</v>
      </c>
      <c r="K70" s="257"/>
      <c r="L70" s="257"/>
    </row>
    <row r="71" spans="1:12" ht="25.5" x14ac:dyDescent="0.15">
      <c r="A71" s="259" t="s">
        <v>168</v>
      </c>
      <c r="B71" s="261"/>
      <c r="C71" s="259" t="s">
        <v>169</v>
      </c>
      <c r="D71" s="261"/>
      <c r="E71" s="51" t="s">
        <v>68</v>
      </c>
      <c r="F71" s="255"/>
      <c r="G71" s="255"/>
      <c r="H71" s="255"/>
      <c r="I71" s="52" t="s">
        <v>68</v>
      </c>
      <c r="J71" s="257">
        <f>MAX(F71*0.95-1255000,0)</f>
        <v>0</v>
      </c>
      <c r="K71" s="257"/>
      <c r="L71" s="257"/>
    </row>
    <row r="72" spans="1:12" ht="25.5" x14ac:dyDescent="0.15">
      <c r="A72" s="259" t="s">
        <v>169</v>
      </c>
      <c r="B72" s="260"/>
      <c r="C72" s="260"/>
      <c r="D72" s="261"/>
      <c r="E72" s="51" t="s">
        <v>68</v>
      </c>
      <c r="F72" s="255"/>
      <c r="G72" s="255"/>
      <c r="H72" s="255"/>
      <c r="I72" s="52" t="s">
        <v>68</v>
      </c>
      <c r="J72" s="257">
        <f>MAX(F72*0.95-1755000,0)</f>
        <v>0</v>
      </c>
      <c r="K72" s="257"/>
      <c r="L72" s="257"/>
    </row>
  </sheetData>
  <mergeCells count="180">
    <mergeCell ref="J15:L15"/>
    <mergeCell ref="A16:D17"/>
    <mergeCell ref="I3:K3"/>
    <mergeCell ref="I2:Q2"/>
    <mergeCell ref="E8:H8"/>
    <mergeCell ref="A4:D8"/>
    <mergeCell ref="A9:D13"/>
    <mergeCell ref="E12:F12"/>
    <mergeCell ref="G12:H12"/>
    <mergeCell ref="E13:H13"/>
    <mergeCell ref="I12:K12"/>
    <mergeCell ref="E9:H9"/>
    <mergeCell ref="I9:K9"/>
    <mergeCell ref="E10:F10"/>
    <mergeCell ref="G10:H10"/>
    <mergeCell ref="I10:K10"/>
    <mergeCell ref="E11:F11"/>
    <mergeCell ref="G11:H11"/>
    <mergeCell ref="A2:D3"/>
    <mergeCell ref="E4:H4"/>
    <mergeCell ref="E5:F5"/>
    <mergeCell ref="G5:H5"/>
    <mergeCell ref="I11:K11"/>
    <mergeCell ref="I5:K5"/>
    <mergeCell ref="E6:F6"/>
    <mergeCell ref="G6:H6"/>
    <mergeCell ref="E2:H3"/>
    <mergeCell ref="A23:B23"/>
    <mergeCell ref="C23:D23"/>
    <mergeCell ref="A24:D24"/>
    <mergeCell ref="A31:B31"/>
    <mergeCell ref="C31:D31"/>
    <mergeCell ref="A30:B30"/>
    <mergeCell ref="C30:D30"/>
    <mergeCell ref="F30:H30"/>
    <mergeCell ref="F31:H31"/>
    <mergeCell ref="A26:D27"/>
    <mergeCell ref="A28:D28"/>
    <mergeCell ref="F28:H28"/>
    <mergeCell ref="A29:B29"/>
    <mergeCell ref="C29:D29"/>
    <mergeCell ref="F29:H29"/>
    <mergeCell ref="F16:H19"/>
    <mergeCell ref="A18:D19"/>
    <mergeCell ref="A20:D20"/>
    <mergeCell ref="F20:H20"/>
    <mergeCell ref="A21:B21"/>
    <mergeCell ref="C21:D21"/>
    <mergeCell ref="F21:H21"/>
    <mergeCell ref="E7:F7"/>
    <mergeCell ref="A32:D32"/>
    <mergeCell ref="F32:H32"/>
    <mergeCell ref="F24:H24"/>
    <mergeCell ref="I4:K4"/>
    <mergeCell ref="I8:K8"/>
    <mergeCell ref="I13:K13"/>
    <mergeCell ref="J30:L30"/>
    <mergeCell ref="J31:L31"/>
    <mergeCell ref="J28:L28"/>
    <mergeCell ref="J29:L29"/>
    <mergeCell ref="A22:B22"/>
    <mergeCell ref="C22:D22"/>
    <mergeCell ref="F22:H22"/>
    <mergeCell ref="J22:L22"/>
    <mergeCell ref="F23:H23"/>
    <mergeCell ref="J16:L19"/>
    <mergeCell ref="J23:L23"/>
    <mergeCell ref="J20:L20"/>
    <mergeCell ref="J21:L21"/>
    <mergeCell ref="J32:L32"/>
    <mergeCell ref="J24:L24"/>
    <mergeCell ref="I6:K6"/>
    <mergeCell ref="I7:K7"/>
    <mergeCell ref="G7:H7"/>
    <mergeCell ref="O3:Q3"/>
    <mergeCell ref="O4:Q4"/>
    <mergeCell ref="O5:Q5"/>
    <mergeCell ref="O6:Q6"/>
    <mergeCell ref="O7:Q7"/>
    <mergeCell ref="L3:N3"/>
    <mergeCell ref="L4:N4"/>
    <mergeCell ref="L5:N5"/>
    <mergeCell ref="L6:N6"/>
    <mergeCell ref="L7:N7"/>
    <mergeCell ref="O8:Q8"/>
    <mergeCell ref="O9:Q9"/>
    <mergeCell ref="O10:Q10"/>
    <mergeCell ref="O11:Q11"/>
    <mergeCell ref="O12:Q12"/>
    <mergeCell ref="O13:Q13"/>
    <mergeCell ref="L9:N9"/>
    <mergeCell ref="L10:N10"/>
    <mergeCell ref="L11:N11"/>
    <mergeCell ref="L12:N12"/>
    <mergeCell ref="L13:N13"/>
    <mergeCell ref="L8:N8"/>
    <mergeCell ref="A40:D40"/>
    <mergeCell ref="F40:H40"/>
    <mergeCell ref="J40:L40"/>
    <mergeCell ref="A41:B41"/>
    <mergeCell ref="C41:D41"/>
    <mergeCell ref="F41:H41"/>
    <mergeCell ref="J41:L41"/>
    <mergeCell ref="J35:L35"/>
    <mergeCell ref="A36:D37"/>
    <mergeCell ref="F36:H39"/>
    <mergeCell ref="J36:L39"/>
    <mergeCell ref="A38:D39"/>
    <mergeCell ref="A44:D44"/>
    <mergeCell ref="F44:H44"/>
    <mergeCell ref="J44:L44"/>
    <mergeCell ref="A46:D47"/>
    <mergeCell ref="A48:D48"/>
    <mergeCell ref="F48:H48"/>
    <mergeCell ref="J48:L48"/>
    <mergeCell ref="A42:B42"/>
    <mergeCell ref="C42:D42"/>
    <mergeCell ref="F42:H42"/>
    <mergeCell ref="J42:L42"/>
    <mergeCell ref="A43:B43"/>
    <mergeCell ref="C43:D43"/>
    <mergeCell ref="F43:H43"/>
    <mergeCell ref="J43:L43"/>
    <mergeCell ref="A51:B51"/>
    <mergeCell ref="C51:D51"/>
    <mergeCell ref="F51:H51"/>
    <mergeCell ref="J51:L51"/>
    <mergeCell ref="A52:D52"/>
    <mergeCell ref="F52:H52"/>
    <mergeCell ref="J52:L52"/>
    <mergeCell ref="A49:B49"/>
    <mergeCell ref="C49:D49"/>
    <mergeCell ref="F49:H49"/>
    <mergeCell ref="J49:L49"/>
    <mergeCell ref="A50:B50"/>
    <mergeCell ref="C50:D50"/>
    <mergeCell ref="F50:H50"/>
    <mergeCell ref="J50:L50"/>
    <mergeCell ref="A60:D60"/>
    <mergeCell ref="F60:H60"/>
    <mergeCell ref="J60:L60"/>
    <mergeCell ref="A61:B61"/>
    <mergeCell ref="C61:D61"/>
    <mergeCell ref="F61:H61"/>
    <mergeCell ref="J61:L61"/>
    <mergeCell ref="J55:L55"/>
    <mergeCell ref="A56:D57"/>
    <mergeCell ref="F56:H59"/>
    <mergeCell ref="J56:L59"/>
    <mergeCell ref="A58:D59"/>
    <mergeCell ref="A64:D64"/>
    <mergeCell ref="F64:H64"/>
    <mergeCell ref="J64:L64"/>
    <mergeCell ref="A66:D67"/>
    <mergeCell ref="A68:D68"/>
    <mergeCell ref="F68:H68"/>
    <mergeCell ref="J68:L68"/>
    <mergeCell ref="A62:B62"/>
    <mergeCell ref="C62:D62"/>
    <mergeCell ref="F62:H62"/>
    <mergeCell ref="J62:L62"/>
    <mergeCell ref="A63:B63"/>
    <mergeCell ref="C63:D63"/>
    <mergeCell ref="F63:H63"/>
    <mergeCell ref="J63:L63"/>
    <mergeCell ref="A71:B71"/>
    <mergeCell ref="C71:D71"/>
    <mergeCell ref="F71:H71"/>
    <mergeCell ref="J71:L71"/>
    <mergeCell ref="A72:D72"/>
    <mergeCell ref="F72:H72"/>
    <mergeCell ref="J72:L72"/>
    <mergeCell ref="A69:B69"/>
    <mergeCell ref="C69:D69"/>
    <mergeCell ref="F69:H69"/>
    <mergeCell ref="J69:L69"/>
    <mergeCell ref="A70:B70"/>
    <mergeCell ref="C70:D70"/>
    <mergeCell ref="F70:H70"/>
    <mergeCell ref="J70:L70"/>
  </mergeCells>
  <phoneticPr fontId="2"/>
  <pageMargins left="0.7" right="0.7" top="0.75" bottom="0.75" header="0.3" footer="0.3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S116"/>
  <sheetViews>
    <sheetView topLeftCell="A7" zoomScale="60" zoomScaleNormal="60" zoomScaleSheetLayoutView="40" workbookViewId="0">
      <selection activeCell="K12" sqref="K12:L12"/>
    </sheetView>
  </sheetViews>
  <sheetFormatPr defaultRowHeight="13.5" x14ac:dyDescent="0.15"/>
  <cols>
    <col min="6" max="6" width="14.25" customWidth="1"/>
    <col min="7" max="7" width="10.375" customWidth="1"/>
    <col min="8" max="8" width="14.25" customWidth="1"/>
    <col min="9" max="9" width="13.375" customWidth="1"/>
    <col min="15" max="15" width="15.875" customWidth="1"/>
    <col min="19" max="19" width="9" customWidth="1"/>
    <col min="22" max="22" width="31.25" customWidth="1"/>
    <col min="31" max="31" width="10.5" bestFit="1" customWidth="1"/>
    <col min="35" max="35" width="20.375" bestFit="1" customWidth="1"/>
  </cols>
  <sheetData>
    <row r="1" spans="1:45" ht="30.75" x14ac:dyDescent="0.1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18"/>
      <c r="P1" s="18"/>
      <c r="Q1" s="18"/>
      <c r="R1" s="399" t="s">
        <v>25</v>
      </c>
      <c r="S1" s="399"/>
      <c r="T1" s="399"/>
      <c r="U1" s="399" t="s">
        <v>27</v>
      </c>
      <c r="V1" s="399"/>
      <c r="W1" s="399"/>
      <c r="X1" s="399" t="s">
        <v>28</v>
      </c>
      <c r="Y1" s="399"/>
      <c r="Z1" s="399"/>
      <c r="AA1" s="399" t="s">
        <v>29</v>
      </c>
      <c r="AB1" s="399"/>
      <c r="AC1" s="399"/>
      <c r="AD1" s="19"/>
      <c r="AE1" s="19"/>
      <c r="AF1" s="19"/>
      <c r="AG1" s="19"/>
      <c r="AH1" s="19"/>
      <c r="AI1" s="19"/>
      <c r="AJ1" s="19"/>
      <c r="AK1" s="20"/>
      <c r="AL1" s="20"/>
      <c r="AM1" s="19"/>
      <c r="AN1" s="19"/>
      <c r="AO1" s="19"/>
      <c r="AP1" s="19"/>
      <c r="AQ1" s="19"/>
      <c r="AR1" s="19"/>
      <c r="AS1" s="19"/>
    </row>
    <row r="2" spans="1:45" ht="18.75" x14ac:dyDescent="0.15">
      <c r="A2" s="15"/>
      <c r="B2" s="15"/>
      <c r="C2" s="15"/>
      <c r="D2" s="15"/>
      <c r="E2" s="15"/>
      <c r="F2" s="15"/>
      <c r="G2" s="15"/>
      <c r="H2" s="15"/>
      <c r="I2" s="15"/>
      <c r="J2" s="16"/>
      <c r="K2" s="16"/>
      <c r="L2" s="7"/>
      <c r="M2" s="7"/>
      <c r="N2" s="7"/>
      <c r="O2" s="18"/>
      <c r="P2" s="18"/>
      <c r="Q2" s="18"/>
      <c r="R2" s="400"/>
      <c r="S2" s="400"/>
      <c r="T2" s="400"/>
      <c r="U2" s="400"/>
      <c r="V2" s="400"/>
      <c r="W2" s="400"/>
      <c r="X2" s="400"/>
      <c r="Y2" s="400"/>
      <c r="Z2" s="400"/>
      <c r="AA2" s="400"/>
      <c r="AB2" s="400"/>
      <c r="AC2" s="400"/>
      <c r="AD2" s="19"/>
      <c r="AE2" s="19"/>
      <c r="AF2" s="19"/>
      <c r="AG2" s="19"/>
      <c r="AH2" s="19"/>
      <c r="AI2" s="19"/>
      <c r="AJ2" s="19"/>
      <c r="AK2" s="20"/>
      <c r="AL2" s="20"/>
      <c r="AM2" s="19"/>
      <c r="AN2" s="19"/>
      <c r="AO2" s="19"/>
      <c r="AP2" s="19"/>
      <c r="AQ2" s="19"/>
      <c r="AR2" s="19"/>
      <c r="AS2" s="19"/>
    </row>
    <row r="3" spans="1:45" ht="15" x14ac:dyDescent="0.15">
      <c r="A3" s="336" t="s">
        <v>5</v>
      </c>
      <c r="B3" s="337"/>
      <c r="C3" s="342" t="s">
        <v>44</v>
      </c>
      <c r="D3" s="343"/>
      <c r="E3" s="368" t="s">
        <v>7</v>
      </c>
      <c r="F3" s="369"/>
      <c r="G3" s="369"/>
      <c r="H3" s="369"/>
      <c r="I3" s="370"/>
      <c r="J3" s="374" t="s">
        <v>8</v>
      </c>
      <c r="K3" s="375"/>
      <c r="L3" s="376"/>
      <c r="M3" s="380" t="s">
        <v>34</v>
      </c>
      <c r="N3" s="380"/>
      <c r="O3" s="402" t="s">
        <v>10</v>
      </c>
      <c r="P3" s="401" t="s">
        <v>5</v>
      </c>
      <c r="Q3" s="401"/>
      <c r="R3" s="401" t="s">
        <v>8</v>
      </c>
      <c r="S3" s="401"/>
      <c r="T3" s="401"/>
      <c r="U3" s="401" t="s">
        <v>8</v>
      </c>
      <c r="V3" s="401"/>
      <c r="W3" s="401"/>
      <c r="X3" s="401" t="s">
        <v>8</v>
      </c>
      <c r="Y3" s="401"/>
      <c r="Z3" s="401"/>
      <c r="AA3" s="401" t="s">
        <v>8</v>
      </c>
      <c r="AB3" s="401"/>
      <c r="AC3" s="401"/>
      <c r="AD3" s="401" t="s">
        <v>8</v>
      </c>
      <c r="AE3" s="401"/>
      <c r="AF3" s="401"/>
      <c r="AG3" s="401"/>
      <c r="AH3" s="401"/>
      <c r="AI3" s="401"/>
      <c r="AJ3" s="401"/>
      <c r="AK3" s="206" t="s">
        <v>36</v>
      </c>
      <c r="AL3" s="206"/>
      <c r="AM3" s="206"/>
      <c r="AN3" s="206"/>
      <c r="AO3" s="206" t="s">
        <v>35</v>
      </c>
      <c r="AP3" s="206"/>
      <c r="AQ3" s="206"/>
      <c r="AR3" s="206"/>
      <c r="AS3" s="206"/>
    </row>
    <row r="4" spans="1:45" ht="15" x14ac:dyDescent="0.15">
      <c r="A4" s="340"/>
      <c r="B4" s="341"/>
      <c r="C4" s="346"/>
      <c r="D4" s="347"/>
      <c r="E4" s="371"/>
      <c r="F4" s="372"/>
      <c r="G4" s="372"/>
      <c r="H4" s="372"/>
      <c r="I4" s="373"/>
      <c r="J4" s="377"/>
      <c r="K4" s="378"/>
      <c r="L4" s="379"/>
      <c r="M4" s="380"/>
      <c r="N4" s="380"/>
      <c r="O4" s="403"/>
      <c r="P4" s="401"/>
      <c r="Q4" s="401"/>
      <c r="R4" s="401"/>
      <c r="S4" s="401"/>
      <c r="T4" s="401"/>
      <c r="U4" s="401"/>
      <c r="V4" s="401"/>
      <c r="W4" s="401"/>
      <c r="X4" s="401"/>
      <c r="Y4" s="401"/>
      <c r="Z4" s="401"/>
      <c r="AA4" s="401"/>
      <c r="AB4" s="401"/>
      <c r="AC4" s="401"/>
      <c r="AD4" s="42"/>
      <c r="AE4" s="43" t="s">
        <v>30</v>
      </c>
      <c r="AF4" s="43" t="s">
        <v>31</v>
      </c>
      <c r="AG4" s="43" t="s">
        <v>32</v>
      </c>
      <c r="AH4" s="43" t="s">
        <v>42</v>
      </c>
      <c r="AI4" s="43" t="s">
        <v>121</v>
      </c>
      <c r="AJ4" s="44" t="s">
        <v>33</v>
      </c>
      <c r="AK4" s="206"/>
      <c r="AL4" s="206"/>
      <c r="AM4" s="206"/>
      <c r="AN4" s="206"/>
      <c r="AO4" s="27" t="s">
        <v>30</v>
      </c>
      <c r="AP4" s="27" t="s">
        <v>31</v>
      </c>
      <c r="AQ4" s="27" t="s">
        <v>32</v>
      </c>
      <c r="AR4" s="27" t="s">
        <v>42</v>
      </c>
      <c r="AS4" s="27" t="s">
        <v>33</v>
      </c>
    </row>
    <row r="5" spans="1:45" ht="18.75" x14ac:dyDescent="0.15">
      <c r="A5" s="336">
        <f>MAX(P5,0)</f>
        <v>1250000</v>
      </c>
      <c r="B5" s="337"/>
      <c r="C5" s="342">
        <f>MAX(O5,0)</f>
        <v>970000</v>
      </c>
      <c r="D5" s="343"/>
      <c r="E5" s="28" t="s">
        <v>11</v>
      </c>
      <c r="F5" s="362">
        <f>IF(保険税試算!B6="○",0,C5*$O$37*保険税試算!D6/12)</f>
        <v>77600</v>
      </c>
      <c r="G5" s="362"/>
      <c r="H5" s="362"/>
      <c r="I5" s="362"/>
      <c r="J5" s="28" t="s">
        <v>11</v>
      </c>
      <c r="K5" s="362">
        <f t="shared" ref="K5:K7" si="0">AJ5</f>
        <v>18400</v>
      </c>
      <c r="L5" s="362"/>
      <c r="M5" s="357">
        <f>保険税試算!C44</f>
        <v>28800</v>
      </c>
      <c r="N5" s="357"/>
      <c r="O5" s="348">
        <f>IF(保険税試算!B27=1,0,保険税試算!H6-430000)</f>
        <v>970000</v>
      </c>
      <c r="P5" s="351">
        <f>IF(保険税試算!J6="○",保険税試算!H6-150000,保険税試算!H6)</f>
        <v>1250000</v>
      </c>
      <c r="Q5" s="352"/>
      <c r="R5" s="45" t="s">
        <v>11</v>
      </c>
      <c r="S5" s="333">
        <f>$O$41*0.3*(保険税試算!D6)/12</f>
        <v>6900</v>
      </c>
      <c r="T5" s="333"/>
      <c r="U5" s="45" t="s">
        <v>11</v>
      </c>
      <c r="V5" s="333">
        <f>$O$41*0.5*(保険税試算!D6)/12</f>
        <v>11500</v>
      </c>
      <c r="W5" s="333"/>
      <c r="X5" s="45" t="s">
        <v>11</v>
      </c>
      <c r="Y5" s="333">
        <f>$O$41*0.8*(保険税試算!D6)/12</f>
        <v>18400</v>
      </c>
      <c r="Z5" s="333"/>
      <c r="AA5" s="45" t="s">
        <v>11</v>
      </c>
      <c r="AB5" s="333">
        <f>O41*(保険税試算!D6)/12</f>
        <v>23000</v>
      </c>
      <c r="AC5" s="333"/>
      <c r="AD5" s="45" t="s">
        <v>11</v>
      </c>
      <c r="AE5" s="45">
        <f>IF($L$39="○",S5,0)</f>
        <v>0</v>
      </c>
      <c r="AF5" s="45">
        <f>IF($L$43="○",V5,0)</f>
        <v>0</v>
      </c>
      <c r="AG5" s="45">
        <f>IF($L$47="○",Y5,0)</f>
        <v>18400</v>
      </c>
      <c r="AH5" s="45">
        <f>IF(AND($L$39="×",$L$43="×",$L$47="×"),AB5,0)</f>
        <v>0</v>
      </c>
      <c r="AI5" s="67">
        <f>IF(COUNTIF(保険税試算!$L$6,"○"),SUM(AE5:AH5)/2*-1,0)</f>
        <v>0</v>
      </c>
      <c r="AJ5" s="46">
        <f>SUM(AE5:AI5)</f>
        <v>18400</v>
      </c>
      <c r="AK5" s="206" t="s">
        <v>30</v>
      </c>
      <c r="AL5" s="206"/>
      <c r="AM5" s="206">
        <f>AM17*0.3</f>
        <v>10800</v>
      </c>
      <c r="AN5" s="206"/>
      <c r="AO5" s="206">
        <f>IF(L39="○",AM5,0)</f>
        <v>0</v>
      </c>
      <c r="AP5" s="206">
        <f>IF(L43="○",AM9,0)</f>
        <v>0</v>
      </c>
      <c r="AQ5" s="206">
        <f>IF(L47="○",AM13,0)</f>
        <v>28800</v>
      </c>
      <c r="AR5" s="206">
        <f>IF(AND(L39="×",L43="×",L47="×"),AM17,0)</f>
        <v>0</v>
      </c>
      <c r="AS5" s="206">
        <f>SUM(AO5:AR7)</f>
        <v>28800</v>
      </c>
    </row>
    <row r="6" spans="1:45" ht="18.75" x14ac:dyDescent="0.15">
      <c r="A6" s="338"/>
      <c r="B6" s="339"/>
      <c r="C6" s="344"/>
      <c r="D6" s="345"/>
      <c r="E6" s="29" t="s">
        <v>12</v>
      </c>
      <c r="F6" s="365">
        <f>IF(保険税試算!B6="○",0,C5*$P$37*保険税試算!D6/12)</f>
        <v>32010</v>
      </c>
      <c r="G6" s="365"/>
      <c r="H6" s="365"/>
      <c r="I6" s="365"/>
      <c r="J6" s="29" t="s">
        <v>12</v>
      </c>
      <c r="K6" s="365">
        <f t="shared" si="0"/>
        <v>9600</v>
      </c>
      <c r="L6" s="365"/>
      <c r="M6" s="357"/>
      <c r="N6" s="357"/>
      <c r="O6" s="349"/>
      <c r="P6" s="353"/>
      <c r="Q6" s="354"/>
      <c r="R6" s="47" t="s">
        <v>12</v>
      </c>
      <c r="S6" s="335">
        <f>$P$41*0.3*(保険税試算!D6)/12</f>
        <v>3600</v>
      </c>
      <c r="T6" s="335"/>
      <c r="U6" s="47" t="s">
        <v>12</v>
      </c>
      <c r="V6" s="335">
        <f>$P$41*0.5*(保険税試算!D6)/12</f>
        <v>6000</v>
      </c>
      <c r="W6" s="335"/>
      <c r="X6" s="47" t="s">
        <v>12</v>
      </c>
      <c r="Y6" s="335">
        <f>$P$41*0.8*(保険税試算!D6)/12</f>
        <v>9600</v>
      </c>
      <c r="Z6" s="335"/>
      <c r="AA6" s="47" t="s">
        <v>12</v>
      </c>
      <c r="AB6" s="335">
        <f>P41*(保険税試算!D6)/12</f>
        <v>12000</v>
      </c>
      <c r="AC6" s="335"/>
      <c r="AD6" s="47" t="s">
        <v>12</v>
      </c>
      <c r="AE6" s="47">
        <f>IF($L$39="○",S6,0)</f>
        <v>0</v>
      </c>
      <c r="AF6" s="47">
        <f>IF($L$43="○",V6,0)</f>
        <v>0</v>
      </c>
      <c r="AG6" s="47">
        <f>IF($L$47="○",Y6,0)</f>
        <v>9600</v>
      </c>
      <c r="AH6" s="47">
        <f t="shared" ref="AH6:AH32" si="1">IF(AND($L$39="×",$L$43="×",$L$47="×"),AB6,0)</f>
        <v>0</v>
      </c>
      <c r="AI6" s="67">
        <f>IF(COUNTIF(保険税試算!$L$6,"○"),SUM(AE6:AH6)/2*-1,0)</f>
        <v>0</v>
      </c>
      <c r="AJ6" s="46">
        <f t="shared" ref="AJ6:AJ32" si="2">SUM(AE6:AI6)</f>
        <v>9600</v>
      </c>
      <c r="AK6" s="206"/>
      <c r="AL6" s="206"/>
      <c r="AM6" s="206"/>
      <c r="AN6" s="206"/>
      <c r="AO6" s="206"/>
      <c r="AP6" s="206"/>
      <c r="AQ6" s="206"/>
      <c r="AR6" s="206"/>
      <c r="AS6" s="206"/>
    </row>
    <row r="7" spans="1:45" ht="18.75" x14ac:dyDescent="0.15">
      <c r="A7" s="338"/>
      <c r="B7" s="339"/>
      <c r="C7" s="344"/>
      <c r="D7" s="345"/>
      <c r="E7" s="25" t="s">
        <v>13</v>
      </c>
      <c r="F7" s="361">
        <f>IF(保険税試算!E6="○",C5*$R$37*保険税試算!F6/12,0)</f>
        <v>0</v>
      </c>
      <c r="G7" s="361"/>
      <c r="H7" s="361"/>
      <c r="I7" s="361"/>
      <c r="J7" s="25" t="s">
        <v>13</v>
      </c>
      <c r="K7" s="361">
        <f t="shared" si="0"/>
        <v>0</v>
      </c>
      <c r="L7" s="361"/>
      <c r="M7" s="357"/>
      <c r="N7" s="357"/>
      <c r="O7" s="349"/>
      <c r="P7" s="353"/>
      <c r="Q7" s="354"/>
      <c r="R7" s="48" t="s">
        <v>13</v>
      </c>
      <c r="S7" s="334">
        <f>$R$41*0.3*(保険税試算!F6)/12</f>
        <v>0</v>
      </c>
      <c r="T7" s="334"/>
      <c r="U7" s="48" t="s">
        <v>13</v>
      </c>
      <c r="V7" s="334">
        <f>$R$41*0.5*(保険税試算!F6)/12</f>
        <v>0</v>
      </c>
      <c r="W7" s="334"/>
      <c r="X7" s="48" t="s">
        <v>13</v>
      </c>
      <c r="Y7" s="334">
        <f>$R$41*0.8*(保険税試算!F6)/12</f>
        <v>0</v>
      </c>
      <c r="Z7" s="334"/>
      <c r="AA7" s="48" t="s">
        <v>13</v>
      </c>
      <c r="AB7" s="334">
        <f>R41*(保険税試算!F6)/12</f>
        <v>0</v>
      </c>
      <c r="AC7" s="334"/>
      <c r="AD7" s="48" t="s">
        <v>13</v>
      </c>
      <c r="AE7" s="48">
        <f>IF($L$39="○",S7,0)</f>
        <v>0</v>
      </c>
      <c r="AF7" s="48">
        <f>IF($L$43="○",V7,0)</f>
        <v>0</v>
      </c>
      <c r="AG7" s="48">
        <f>IF($L$47="○",Y7,0)</f>
        <v>0</v>
      </c>
      <c r="AH7" s="48">
        <f t="shared" si="1"/>
        <v>0</v>
      </c>
      <c r="AI7" s="67">
        <f>IF(COUNTIF(保険税試算!$L$6,"○"),SUM(AE7:AH7)/2*-1,0)</f>
        <v>0</v>
      </c>
      <c r="AJ7" s="46">
        <f t="shared" si="2"/>
        <v>0</v>
      </c>
      <c r="AK7" s="206"/>
      <c r="AL7" s="206"/>
      <c r="AM7" s="206"/>
      <c r="AN7" s="206"/>
      <c r="AO7" s="206"/>
      <c r="AP7" s="206"/>
      <c r="AQ7" s="206"/>
      <c r="AR7" s="206"/>
      <c r="AS7" s="206"/>
    </row>
    <row r="8" spans="1:45" ht="18.75" x14ac:dyDescent="0.15">
      <c r="A8" s="340"/>
      <c r="B8" s="341"/>
      <c r="C8" s="346"/>
      <c r="D8" s="347"/>
      <c r="E8" s="72" t="s">
        <v>125</v>
      </c>
      <c r="F8" s="358">
        <f>IF(保険税試算!B6="○",0,C5*$T$37*保険税試算!D6/12)</f>
        <v>2619</v>
      </c>
      <c r="G8" s="359"/>
      <c r="H8" s="359"/>
      <c r="I8" s="360"/>
      <c r="J8" s="72" t="s">
        <v>125</v>
      </c>
      <c r="K8" s="358">
        <f>IF(保険税試算!G6="○",0,(IF(修正不可!AJ8&gt;0,修正不可!AJ8,0)))</f>
        <v>1620</v>
      </c>
      <c r="L8" s="360"/>
      <c r="M8" s="357"/>
      <c r="N8" s="357"/>
      <c r="O8" s="350"/>
      <c r="P8" s="355"/>
      <c r="Q8" s="356"/>
      <c r="R8" s="73" t="s">
        <v>125</v>
      </c>
      <c r="S8" s="324">
        <f>ROUNDDOWN($T$41*0.3*(保険税試算!D6)/12,0)</f>
        <v>607</v>
      </c>
      <c r="T8" s="325"/>
      <c r="U8" s="73" t="s">
        <v>125</v>
      </c>
      <c r="V8" s="324">
        <f>$T$41*0.5*(保険税試算!D6)/12-1</f>
        <v>1012</v>
      </c>
      <c r="W8" s="325"/>
      <c r="X8" s="73" t="s">
        <v>125</v>
      </c>
      <c r="Y8" s="324">
        <f>ROUNDDOWN($T$41*0.8*(保険税試算!D6)/12,0)</f>
        <v>1620</v>
      </c>
      <c r="Z8" s="325"/>
      <c r="AA8" s="73" t="s">
        <v>125</v>
      </c>
      <c r="AB8" s="324">
        <f>T41*(保険税試算!D6)/12</f>
        <v>2026</v>
      </c>
      <c r="AC8" s="325"/>
      <c r="AD8" s="73" t="s">
        <v>125</v>
      </c>
      <c r="AE8" s="74">
        <f>IF($L$39="○",S8,0)</f>
        <v>0</v>
      </c>
      <c r="AF8" s="74">
        <f>IF($L$43="○",V8,0)</f>
        <v>0</v>
      </c>
      <c r="AG8" s="74">
        <f>IF($L$47="○",Y8,0)</f>
        <v>1620</v>
      </c>
      <c r="AH8" s="74">
        <f t="shared" si="1"/>
        <v>0</v>
      </c>
      <c r="AI8" s="67">
        <f>IF(COUNTIF(保険税試算!$L$6,"○"),SUM(AE8:AH8)/2*-1,0)</f>
        <v>0</v>
      </c>
      <c r="AJ8" s="46">
        <f t="shared" si="2"/>
        <v>1620</v>
      </c>
      <c r="AK8" s="27"/>
      <c r="AL8" s="27"/>
      <c r="AM8" s="27"/>
      <c r="AN8" s="27"/>
      <c r="AO8" s="27"/>
      <c r="AP8" s="27"/>
      <c r="AQ8" s="27"/>
      <c r="AR8" s="27"/>
      <c r="AS8" s="27"/>
    </row>
    <row r="9" spans="1:45" ht="18.75" x14ac:dyDescent="0.15">
      <c r="A9" s="336">
        <f>MAX(P9,0)</f>
        <v>0</v>
      </c>
      <c r="B9" s="337"/>
      <c r="C9" s="342">
        <f>MAX(O9,0)</f>
        <v>0</v>
      </c>
      <c r="D9" s="343"/>
      <c r="E9" s="28" t="s">
        <v>11</v>
      </c>
      <c r="F9" s="362">
        <f>(C9*$O$37)*(保険税試算!D9/12)</f>
        <v>0</v>
      </c>
      <c r="G9" s="362"/>
      <c r="H9" s="362"/>
      <c r="I9" s="362"/>
      <c r="J9" s="28" t="s">
        <v>11</v>
      </c>
      <c r="K9" s="363">
        <f t="shared" ref="K9:K11" si="3">AJ9</f>
        <v>18400</v>
      </c>
      <c r="L9" s="364"/>
      <c r="M9" s="357"/>
      <c r="N9" s="357"/>
      <c r="O9" s="348">
        <f>保険税試算!H9-430000</f>
        <v>-430000</v>
      </c>
      <c r="P9" s="351">
        <f>IF(保険税試算!J9="○",保険税試算!H9-150000,保険税試算!H9)</f>
        <v>0</v>
      </c>
      <c r="Q9" s="352"/>
      <c r="R9" s="45" t="s">
        <v>11</v>
      </c>
      <c r="S9" s="333">
        <f>$O$41*0.3*(保険税試算!D9)/12</f>
        <v>6900</v>
      </c>
      <c r="T9" s="333"/>
      <c r="U9" s="45" t="s">
        <v>11</v>
      </c>
      <c r="V9" s="333">
        <f>$O$41*0.5*(保険税試算!D9)/12</f>
        <v>11500</v>
      </c>
      <c r="W9" s="333"/>
      <c r="X9" s="45" t="s">
        <v>11</v>
      </c>
      <c r="Y9" s="333">
        <f>$O$41*0.8*(保険税試算!D9)/12</f>
        <v>18400</v>
      </c>
      <c r="Z9" s="333"/>
      <c r="AA9" s="45" t="s">
        <v>11</v>
      </c>
      <c r="AB9" s="333">
        <f>O41*(保険税試算!D9)/12</f>
        <v>23000</v>
      </c>
      <c r="AC9" s="333"/>
      <c r="AD9" s="45" t="s">
        <v>11</v>
      </c>
      <c r="AE9" s="45">
        <f t="shared" ref="AE9:AE32" si="4">IF($L$39="○",S9,0)</f>
        <v>0</v>
      </c>
      <c r="AF9" s="45">
        <f t="shared" ref="AF9:AF32" si="5">IF($L$43="○",V9,0)</f>
        <v>0</v>
      </c>
      <c r="AG9" s="45">
        <f t="shared" ref="AG9:AG32" si="6">IF($L$47="○",Y9,0)</f>
        <v>18400</v>
      </c>
      <c r="AH9" s="45">
        <f t="shared" si="1"/>
        <v>0</v>
      </c>
      <c r="AI9" s="66">
        <f>IF(COUNTIF(保険税試算!$L$9,"○"),SUM(AE9:AH9)/2*-1,0)</f>
        <v>0</v>
      </c>
      <c r="AJ9" s="46">
        <f t="shared" si="2"/>
        <v>18400</v>
      </c>
      <c r="AK9" s="206" t="s">
        <v>31</v>
      </c>
      <c r="AL9" s="206"/>
      <c r="AM9" s="206">
        <f>AM17*0.5</f>
        <v>18000</v>
      </c>
      <c r="AN9" s="206"/>
      <c r="AO9" s="22"/>
      <c r="AP9" s="22"/>
      <c r="AQ9" s="22"/>
      <c r="AR9" s="22"/>
      <c r="AS9" s="22"/>
    </row>
    <row r="10" spans="1:45" ht="18.75" x14ac:dyDescent="0.15">
      <c r="A10" s="338"/>
      <c r="B10" s="339"/>
      <c r="C10" s="344"/>
      <c r="D10" s="345"/>
      <c r="E10" s="29" t="s">
        <v>12</v>
      </c>
      <c r="F10" s="365">
        <f>(C9*$P$37)*(保険税試算!D9/12)</f>
        <v>0</v>
      </c>
      <c r="G10" s="365"/>
      <c r="H10" s="365"/>
      <c r="I10" s="365"/>
      <c r="J10" s="29" t="s">
        <v>12</v>
      </c>
      <c r="K10" s="366">
        <f t="shared" si="3"/>
        <v>9600</v>
      </c>
      <c r="L10" s="367"/>
      <c r="M10" s="357"/>
      <c r="N10" s="357"/>
      <c r="O10" s="349"/>
      <c r="P10" s="353"/>
      <c r="Q10" s="354"/>
      <c r="R10" s="47" t="s">
        <v>12</v>
      </c>
      <c r="S10" s="335">
        <f>$P$41*0.3*(保険税試算!D9)/12</f>
        <v>3600</v>
      </c>
      <c r="T10" s="335"/>
      <c r="U10" s="47" t="s">
        <v>12</v>
      </c>
      <c r="V10" s="335">
        <f>$P$41*0.5*(保険税試算!D9)/12</f>
        <v>6000</v>
      </c>
      <c r="W10" s="335"/>
      <c r="X10" s="47" t="s">
        <v>12</v>
      </c>
      <c r="Y10" s="335">
        <f>$P$41*0.8*(保険税試算!D9)/12</f>
        <v>9600</v>
      </c>
      <c r="Z10" s="335"/>
      <c r="AA10" s="47" t="s">
        <v>12</v>
      </c>
      <c r="AB10" s="335">
        <f>P41*(保険税試算!D9)/12</f>
        <v>12000</v>
      </c>
      <c r="AC10" s="335"/>
      <c r="AD10" s="47" t="s">
        <v>12</v>
      </c>
      <c r="AE10" s="47">
        <f t="shared" si="4"/>
        <v>0</v>
      </c>
      <c r="AF10" s="47">
        <f t="shared" si="5"/>
        <v>0</v>
      </c>
      <c r="AG10" s="47">
        <f t="shared" si="6"/>
        <v>9600</v>
      </c>
      <c r="AH10" s="47">
        <f t="shared" si="1"/>
        <v>0</v>
      </c>
      <c r="AI10" s="66">
        <f>IF(COUNTIF(保険税試算!$L$9,"○"),SUM(AE10:AH10)/2*-1,0)</f>
        <v>0</v>
      </c>
      <c r="AJ10" s="46">
        <f t="shared" si="2"/>
        <v>9600</v>
      </c>
      <c r="AK10" s="206"/>
      <c r="AL10" s="206"/>
      <c r="AM10" s="206"/>
      <c r="AN10" s="206"/>
      <c r="AO10" s="22"/>
      <c r="AP10" s="22"/>
      <c r="AQ10" s="22"/>
      <c r="AR10" s="22"/>
      <c r="AS10" s="22"/>
    </row>
    <row r="11" spans="1:45" ht="18.75" x14ac:dyDescent="0.15">
      <c r="A11" s="338"/>
      <c r="B11" s="339"/>
      <c r="C11" s="344"/>
      <c r="D11" s="345"/>
      <c r="E11" s="25" t="s">
        <v>13</v>
      </c>
      <c r="F11" s="361">
        <f>IF(保険税試算!E9="○",C9*$R$37*保険税試算!D9/12,0)</f>
        <v>0</v>
      </c>
      <c r="G11" s="361"/>
      <c r="H11" s="361"/>
      <c r="I11" s="361"/>
      <c r="J11" s="25" t="s">
        <v>13</v>
      </c>
      <c r="K11" s="404">
        <f t="shared" si="3"/>
        <v>12800</v>
      </c>
      <c r="L11" s="405"/>
      <c r="M11" s="357"/>
      <c r="N11" s="357"/>
      <c r="O11" s="349"/>
      <c r="P11" s="353"/>
      <c r="Q11" s="354"/>
      <c r="R11" s="48" t="s">
        <v>13</v>
      </c>
      <c r="S11" s="334">
        <f>$R$41*0.3*(保険税試算!F9)/12</f>
        <v>4800</v>
      </c>
      <c r="T11" s="334"/>
      <c r="U11" s="48" t="s">
        <v>13</v>
      </c>
      <c r="V11" s="334">
        <f>$R$41*0.5*(保険税試算!F9)/12</f>
        <v>8000</v>
      </c>
      <c r="W11" s="334"/>
      <c r="X11" s="48" t="s">
        <v>13</v>
      </c>
      <c r="Y11" s="334">
        <f>$R$41*0.8*(保険税試算!F9)/12</f>
        <v>12800</v>
      </c>
      <c r="Z11" s="334"/>
      <c r="AA11" s="48" t="s">
        <v>13</v>
      </c>
      <c r="AB11" s="334">
        <f>R41*(保険税試算!F9)/12</f>
        <v>16000</v>
      </c>
      <c r="AC11" s="334"/>
      <c r="AD11" s="48" t="s">
        <v>13</v>
      </c>
      <c r="AE11" s="48">
        <f t="shared" si="4"/>
        <v>0</v>
      </c>
      <c r="AF11" s="48">
        <f t="shared" si="5"/>
        <v>0</v>
      </c>
      <c r="AG11" s="48">
        <f t="shared" si="6"/>
        <v>12800</v>
      </c>
      <c r="AH11" s="48">
        <f t="shared" si="1"/>
        <v>0</v>
      </c>
      <c r="AI11" s="66">
        <f>IF(COUNTIF(保険税試算!$L$9,"○"),SUM(AE11:AH11)/2*-1,0)</f>
        <v>0</v>
      </c>
      <c r="AJ11" s="46">
        <f t="shared" si="2"/>
        <v>12800</v>
      </c>
      <c r="AK11" s="206"/>
      <c r="AL11" s="206"/>
      <c r="AM11" s="206"/>
      <c r="AN11" s="206"/>
      <c r="AO11" s="22"/>
      <c r="AP11" s="22"/>
      <c r="AQ11" s="22"/>
      <c r="AR11" s="22"/>
      <c r="AS11" s="22"/>
    </row>
    <row r="12" spans="1:45" ht="18.75" x14ac:dyDescent="0.15">
      <c r="A12" s="340"/>
      <c r="B12" s="341"/>
      <c r="C12" s="346"/>
      <c r="D12" s="347"/>
      <c r="E12" s="72" t="s">
        <v>125</v>
      </c>
      <c r="F12" s="358">
        <f>(C9*$T$37)*(保険税試算!D9/12)</f>
        <v>0</v>
      </c>
      <c r="G12" s="359"/>
      <c r="H12" s="359"/>
      <c r="I12" s="360"/>
      <c r="J12" s="72" t="s">
        <v>125</v>
      </c>
      <c r="K12" s="358">
        <f>IF(保険税試算!G9="○",0,(IF(修正不可!AJ12&gt;0,修正不可!AJ12,0)))</f>
        <v>1620</v>
      </c>
      <c r="L12" s="360"/>
      <c r="M12" s="357"/>
      <c r="N12" s="357"/>
      <c r="O12" s="350"/>
      <c r="P12" s="355"/>
      <c r="Q12" s="356"/>
      <c r="R12" s="73" t="s">
        <v>125</v>
      </c>
      <c r="S12" s="324">
        <f>ROUNDDOWN($T$41*0.3*(保険税試算!D9)/12,0)</f>
        <v>607</v>
      </c>
      <c r="T12" s="325"/>
      <c r="U12" s="73" t="s">
        <v>125</v>
      </c>
      <c r="V12" s="324">
        <f>$T$41*0.5*(保険税試算!D9)/12-1</f>
        <v>1012</v>
      </c>
      <c r="W12" s="325"/>
      <c r="X12" s="73" t="s">
        <v>125</v>
      </c>
      <c r="Y12" s="324">
        <f>ROUNDDOWN($T$41*0.8*(保険税試算!D9)/12,0)</f>
        <v>1620</v>
      </c>
      <c r="Z12" s="325"/>
      <c r="AA12" s="73" t="s">
        <v>125</v>
      </c>
      <c r="AB12" s="324">
        <f>T41*(保険税試算!D9)/12</f>
        <v>2026</v>
      </c>
      <c r="AC12" s="325"/>
      <c r="AD12" s="73" t="s">
        <v>125</v>
      </c>
      <c r="AE12" s="74">
        <f t="shared" si="4"/>
        <v>0</v>
      </c>
      <c r="AF12" s="74">
        <f t="shared" si="5"/>
        <v>0</v>
      </c>
      <c r="AG12" s="74">
        <f t="shared" si="6"/>
        <v>1620</v>
      </c>
      <c r="AH12" s="74">
        <f t="shared" si="1"/>
        <v>0</v>
      </c>
      <c r="AI12" s="66">
        <f>IF(COUNTIF(保険税試算!$L$9,"○"),SUM(AE12:AH12)/2*-1,0)</f>
        <v>0</v>
      </c>
      <c r="AJ12" s="46">
        <f t="shared" si="2"/>
        <v>1620</v>
      </c>
      <c r="AK12" s="27"/>
      <c r="AL12" s="27"/>
      <c r="AM12" s="27"/>
      <c r="AN12" s="27"/>
      <c r="AO12" s="27"/>
      <c r="AP12" s="27"/>
      <c r="AQ12" s="27"/>
      <c r="AR12" s="27"/>
      <c r="AS12" s="27"/>
    </row>
    <row r="13" spans="1:45" ht="18.75" x14ac:dyDescent="0.15">
      <c r="A13" s="336">
        <f>MAX(P13,0)</f>
        <v>0</v>
      </c>
      <c r="B13" s="337"/>
      <c r="C13" s="342">
        <f>MAX(O13,0)</f>
        <v>0</v>
      </c>
      <c r="D13" s="343"/>
      <c r="E13" s="28" t="s">
        <v>11</v>
      </c>
      <c r="F13" s="362">
        <f>(C13*$O$37)*(保険税試算!D12/12)</f>
        <v>0</v>
      </c>
      <c r="G13" s="362"/>
      <c r="H13" s="362"/>
      <c r="I13" s="362"/>
      <c r="J13" s="28" t="s">
        <v>11</v>
      </c>
      <c r="K13" s="363">
        <f t="shared" ref="K13:K15" si="7">AJ13</f>
        <v>0</v>
      </c>
      <c r="L13" s="364"/>
      <c r="M13" s="357"/>
      <c r="N13" s="357"/>
      <c r="O13" s="348">
        <f>保険税試算!H12-430000</f>
        <v>-430000</v>
      </c>
      <c r="P13" s="351">
        <f>IF(保険税試算!J12="○",保険税試算!H12-150000,保険税試算!H12)</f>
        <v>0</v>
      </c>
      <c r="Q13" s="352"/>
      <c r="R13" s="45" t="s">
        <v>11</v>
      </c>
      <c r="S13" s="333">
        <f>$O$41*0.3*(保険税試算!D12)/12</f>
        <v>0</v>
      </c>
      <c r="T13" s="333"/>
      <c r="U13" s="45" t="s">
        <v>11</v>
      </c>
      <c r="V13" s="333">
        <f>$O$41*0.5*(保険税試算!D12)/12</f>
        <v>0</v>
      </c>
      <c r="W13" s="333"/>
      <c r="X13" s="45" t="s">
        <v>11</v>
      </c>
      <c r="Y13" s="333">
        <f>$O$41*0.8*(保険税試算!D12)/12</f>
        <v>0</v>
      </c>
      <c r="Z13" s="333"/>
      <c r="AA13" s="45" t="s">
        <v>11</v>
      </c>
      <c r="AB13" s="333">
        <f>O41*(保険税試算!D12)/12</f>
        <v>0</v>
      </c>
      <c r="AC13" s="333"/>
      <c r="AD13" s="45" t="s">
        <v>11</v>
      </c>
      <c r="AE13" s="45">
        <f t="shared" si="4"/>
        <v>0</v>
      </c>
      <c r="AF13" s="45">
        <f t="shared" si="5"/>
        <v>0</v>
      </c>
      <c r="AG13" s="45">
        <f t="shared" si="6"/>
        <v>0</v>
      </c>
      <c r="AH13" s="45">
        <f t="shared" si="1"/>
        <v>0</v>
      </c>
      <c r="AI13" s="67">
        <f>IF(COUNTIF(保険税試算!$L$12,"○"),SUM(AE13:AH13)/2*-1,0)</f>
        <v>0</v>
      </c>
      <c r="AJ13" s="46">
        <f t="shared" si="2"/>
        <v>0</v>
      </c>
      <c r="AK13" s="206" t="s">
        <v>32</v>
      </c>
      <c r="AL13" s="206"/>
      <c r="AM13" s="206">
        <f>AM17*0.8</f>
        <v>28800</v>
      </c>
      <c r="AN13" s="206"/>
      <c r="AO13" s="22"/>
      <c r="AP13" s="22"/>
      <c r="AQ13" s="22"/>
      <c r="AR13" s="22"/>
      <c r="AS13" s="22"/>
    </row>
    <row r="14" spans="1:45" ht="18.75" x14ac:dyDescent="0.15">
      <c r="A14" s="338"/>
      <c r="B14" s="339"/>
      <c r="C14" s="344"/>
      <c r="D14" s="345"/>
      <c r="E14" s="29" t="s">
        <v>12</v>
      </c>
      <c r="F14" s="365">
        <f>(C13*$P$37)*(保険税試算!D12/12)</f>
        <v>0</v>
      </c>
      <c r="G14" s="365"/>
      <c r="H14" s="365"/>
      <c r="I14" s="365"/>
      <c r="J14" s="29" t="s">
        <v>12</v>
      </c>
      <c r="K14" s="366">
        <f t="shared" si="7"/>
        <v>0</v>
      </c>
      <c r="L14" s="367"/>
      <c r="M14" s="357"/>
      <c r="N14" s="357"/>
      <c r="O14" s="349"/>
      <c r="P14" s="353"/>
      <c r="Q14" s="354"/>
      <c r="R14" s="47" t="s">
        <v>12</v>
      </c>
      <c r="S14" s="335">
        <f>$P$41*0.3*(保険税試算!D12)/12</f>
        <v>0</v>
      </c>
      <c r="T14" s="335"/>
      <c r="U14" s="47" t="s">
        <v>12</v>
      </c>
      <c r="V14" s="335">
        <f>$P$41*0.5*(保険税試算!D12)/12</f>
        <v>0</v>
      </c>
      <c r="W14" s="335"/>
      <c r="X14" s="47" t="s">
        <v>12</v>
      </c>
      <c r="Y14" s="335">
        <f>$P$41*0.8*(保険税試算!D12)/12</f>
        <v>0</v>
      </c>
      <c r="Z14" s="335"/>
      <c r="AA14" s="47" t="s">
        <v>12</v>
      </c>
      <c r="AB14" s="335">
        <f>P41*(保険税試算!D12)/12</f>
        <v>0</v>
      </c>
      <c r="AC14" s="335"/>
      <c r="AD14" s="47" t="s">
        <v>12</v>
      </c>
      <c r="AE14" s="47">
        <f t="shared" si="4"/>
        <v>0</v>
      </c>
      <c r="AF14" s="47">
        <f t="shared" si="5"/>
        <v>0</v>
      </c>
      <c r="AG14" s="47">
        <f t="shared" si="6"/>
        <v>0</v>
      </c>
      <c r="AH14" s="47">
        <f t="shared" si="1"/>
        <v>0</v>
      </c>
      <c r="AI14" s="67">
        <f>IF(COUNTIF(保険税試算!$L$12,"○"),SUM(AE14:AH14)/2*-1,0)</f>
        <v>0</v>
      </c>
      <c r="AJ14" s="46">
        <f t="shared" si="2"/>
        <v>0</v>
      </c>
      <c r="AK14" s="206"/>
      <c r="AL14" s="206"/>
      <c r="AM14" s="206"/>
      <c r="AN14" s="206"/>
      <c r="AO14" s="22"/>
      <c r="AP14" s="22"/>
      <c r="AQ14" s="22"/>
      <c r="AR14" s="22"/>
      <c r="AS14" s="22"/>
    </row>
    <row r="15" spans="1:45" ht="18.75" x14ac:dyDescent="0.15">
      <c r="A15" s="338"/>
      <c r="B15" s="339"/>
      <c r="C15" s="344"/>
      <c r="D15" s="345"/>
      <c r="E15" s="25" t="s">
        <v>13</v>
      </c>
      <c r="F15" s="361">
        <f>IF(保険税試算!E12="○",C13*$R$37*保険税試算!D12/12,0)</f>
        <v>0</v>
      </c>
      <c r="G15" s="361"/>
      <c r="H15" s="361"/>
      <c r="I15" s="361"/>
      <c r="J15" s="25" t="s">
        <v>13</v>
      </c>
      <c r="K15" s="404">
        <f t="shared" si="7"/>
        <v>0</v>
      </c>
      <c r="L15" s="405"/>
      <c r="M15" s="357"/>
      <c r="N15" s="357"/>
      <c r="O15" s="349"/>
      <c r="P15" s="353"/>
      <c r="Q15" s="354"/>
      <c r="R15" s="48" t="s">
        <v>13</v>
      </c>
      <c r="S15" s="334">
        <f>$R$41*0.3*(保険税試算!F12)/12</f>
        <v>0</v>
      </c>
      <c r="T15" s="334"/>
      <c r="U15" s="48" t="s">
        <v>13</v>
      </c>
      <c r="V15" s="334">
        <f>$R$41*0.5*(保険税試算!F12)/12</f>
        <v>0</v>
      </c>
      <c r="W15" s="334"/>
      <c r="X15" s="48" t="s">
        <v>13</v>
      </c>
      <c r="Y15" s="334">
        <f>$R$41*0.8*(保険税試算!F12)/12</f>
        <v>0</v>
      </c>
      <c r="Z15" s="334"/>
      <c r="AA15" s="48" t="s">
        <v>13</v>
      </c>
      <c r="AB15" s="334">
        <f>R41*(保険税試算!F12)/12</f>
        <v>0</v>
      </c>
      <c r="AC15" s="334"/>
      <c r="AD15" s="48" t="s">
        <v>13</v>
      </c>
      <c r="AE15" s="48">
        <f t="shared" si="4"/>
        <v>0</v>
      </c>
      <c r="AF15" s="48">
        <f t="shared" si="5"/>
        <v>0</v>
      </c>
      <c r="AG15" s="48">
        <f t="shared" si="6"/>
        <v>0</v>
      </c>
      <c r="AH15" s="48">
        <f t="shared" si="1"/>
        <v>0</v>
      </c>
      <c r="AI15" s="67">
        <f>IF(COUNTIF(保険税試算!$L$12,"○"),SUM(AE15:AH15)/2*-1,0)</f>
        <v>0</v>
      </c>
      <c r="AJ15" s="46">
        <f t="shared" si="2"/>
        <v>0</v>
      </c>
      <c r="AK15" s="206"/>
      <c r="AL15" s="206"/>
      <c r="AM15" s="206"/>
      <c r="AN15" s="206"/>
      <c r="AO15" s="22"/>
      <c r="AP15" s="22"/>
      <c r="AQ15" s="22"/>
      <c r="AR15" s="22"/>
      <c r="AS15" s="22"/>
    </row>
    <row r="16" spans="1:45" ht="18.75" x14ac:dyDescent="0.15">
      <c r="A16" s="340"/>
      <c r="B16" s="341"/>
      <c r="C16" s="346"/>
      <c r="D16" s="347"/>
      <c r="E16" s="72" t="s">
        <v>125</v>
      </c>
      <c r="F16" s="358">
        <f>(C13*$T$37)*(保険税試算!D12/12)</f>
        <v>0</v>
      </c>
      <c r="G16" s="359"/>
      <c r="H16" s="359"/>
      <c r="I16" s="360"/>
      <c r="J16" s="72" t="s">
        <v>125</v>
      </c>
      <c r="K16" s="358">
        <f>IF(保険税試算!G12="○",0,(IF(修正不可!AJ16&gt;0,修正不可!AJ16,0)))</f>
        <v>0</v>
      </c>
      <c r="L16" s="360"/>
      <c r="M16" s="357"/>
      <c r="N16" s="357"/>
      <c r="O16" s="350"/>
      <c r="P16" s="355"/>
      <c r="Q16" s="356"/>
      <c r="R16" s="73" t="s">
        <v>125</v>
      </c>
      <c r="S16" s="324">
        <f>ROUNDDOWN($T$41*0.3*(保険税試算!D12)/12,0)</f>
        <v>0</v>
      </c>
      <c r="T16" s="325"/>
      <c r="U16" s="73" t="s">
        <v>125</v>
      </c>
      <c r="V16" s="324">
        <f>$T$41*0.5*(保険税試算!D12)/12-1</f>
        <v>-1</v>
      </c>
      <c r="W16" s="325"/>
      <c r="X16" s="73" t="s">
        <v>125</v>
      </c>
      <c r="Y16" s="324">
        <f>ROUNDDOWN($T$41*0.8*(保険税試算!D12)/12,0)</f>
        <v>0</v>
      </c>
      <c r="Z16" s="325"/>
      <c r="AA16" s="73" t="s">
        <v>125</v>
      </c>
      <c r="AB16" s="324">
        <f>T41*(保険税試算!D12)/12</f>
        <v>0</v>
      </c>
      <c r="AC16" s="325"/>
      <c r="AD16" s="73" t="s">
        <v>125</v>
      </c>
      <c r="AE16" s="74">
        <f t="shared" si="4"/>
        <v>0</v>
      </c>
      <c r="AF16" s="74">
        <f t="shared" si="5"/>
        <v>0</v>
      </c>
      <c r="AG16" s="74">
        <f t="shared" si="6"/>
        <v>0</v>
      </c>
      <c r="AH16" s="74">
        <f t="shared" si="1"/>
        <v>0</v>
      </c>
      <c r="AI16" s="67">
        <f>IF(COUNTIF(保険税試算!$L$12,"○"),SUM(AE16:AH16)/2*-1,0)</f>
        <v>0</v>
      </c>
      <c r="AJ16" s="46">
        <f t="shared" si="2"/>
        <v>0</v>
      </c>
      <c r="AK16" s="27"/>
      <c r="AL16" s="27"/>
      <c r="AM16" s="27"/>
      <c r="AN16" s="27"/>
      <c r="AO16" s="27"/>
      <c r="AP16" s="27"/>
      <c r="AQ16" s="27"/>
      <c r="AR16" s="27"/>
      <c r="AS16" s="27"/>
    </row>
    <row r="17" spans="1:45" ht="18.75" x14ac:dyDescent="0.15">
      <c r="A17" s="336">
        <f>MAX(P17,0)</f>
        <v>0</v>
      </c>
      <c r="B17" s="337"/>
      <c r="C17" s="342">
        <f>MAX(O17,0)</f>
        <v>0</v>
      </c>
      <c r="D17" s="343"/>
      <c r="E17" s="28" t="s">
        <v>11</v>
      </c>
      <c r="F17" s="362">
        <f>(C17*$O$37)*(保険税試算!D15/12)</f>
        <v>0</v>
      </c>
      <c r="G17" s="362"/>
      <c r="H17" s="362"/>
      <c r="I17" s="362"/>
      <c r="J17" s="28" t="s">
        <v>11</v>
      </c>
      <c r="K17" s="363">
        <f t="shared" ref="K17:K19" si="8">AJ17</f>
        <v>0</v>
      </c>
      <c r="L17" s="364"/>
      <c r="M17" s="357"/>
      <c r="N17" s="357"/>
      <c r="O17" s="348">
        <f>保険税試算!H15-430000</f>
        <v>-430000</v>
      </c>
      <c r="P17" s="351">
        <f>IF(保険税試算!J15="○",保険税試算!H15-150000,保険税試算!H15)</f>
        <v>0</v>
      </c>
      <c r="Q17" s="352"/>
      <c r="R17" s="45" t="s">
        <v>11</v>
      </c>
      <c r="S17" s="333">
        <f>$O$41*0.3*(保険税試算!D15)/12</f>
        <v>0</v>
      </c>
      <c r="T17" s="333"/>
      <c r="U17" s="45" t="s">
        <v>11</v>
      </c>
      <c r="V17" s="333">
        <f>$O$41*0.5*(保険税試算!D15)/12</f>
        <v>0</v>
      </c>
      <c r="W17" s="333"/>
      <c r="X17" s="45" t="s">
        <v>11</v>
      </c>
      <c r="Y17" s="333">
        <f>$O$41*0.8*(保険税試算!D15)/12</f>
        <v>0</v>
      </c>
      <c r="Z17" s="333"/>
      <c r="AA17" s="45" t="s">
        <v>11</v>
      </c>
      <c r="AB17" s="333">
        <f>O41*(保険税試算!D15)/12</f>
        <v>0</v>
      </c>
      <c r="AC17" s="333"/>
      <c r="AD17" s="45" t="s">
        <v>11</v>
      </c>
      <c r="AE17" s="45">
        <f t="shared" si="4"/>
        <v>0</v>
      </c>
      <c r="AF17" s="45">
        <f t="shared" si="5"/>
        <v>0</v>
      </c>
      <c r="AG17" s="45">
        <f t="shared" si="6"/>
        <v>0</v>
      </c>
      <c r="AH17" s="45">
        <f t="shared" si="1"/>
        <v>0</v>
      </c>
      <c r="AI17" s="66">
        <f>IF(COUNTIF(保険税試算!$L$15,"○"),SUM(AE17:AH17)/2*-1,0)</f>
        <v>0</v>
      </c>
      <c r="AJ17" s="46">
        <f t="shared" si="2"/>
        <v>0</v>
      </c>
      <c r="AK17" s="206" t="s">
        <v>42</v>
      </c>
      <c r="AL17" s="206"/>
      <c r="AM17" s="206">
        <f>O45</f>
        <v>36000</v>
      </c>
      <c r="AN17" s="206"/>
      <c r="AO17" s="22"/>
      <c r="AP17" s="22"/>
      <c r="AQ17" s="22"/>
      <c r="AR17" s="22"/>
      <c r="AS17" s="22"/>
    </row>
    <row r="18" spans="1:45" ht="18.75" x14ac:dyDescent="0.15">
      <c r="A18" s="338"/>
      <c r="B18" s="339"/>
      <c r="C18" s="344"/>
      <c r="D18" s="345"/>
      <c r="E18" s="29" t="s">
        <v>12</v>
      </c>
      <c r="F18" s="365">
        <f>(C17*$P$37)*(保険税試算!D15/12)</f>
        <v>0</v>
      </c>
      <c r="G18" s="365"/>
      <c r="H18" s="365"/>
      <c r="I18" s="365"/>
      <c r="J18" s="29" t="s">
        <v>12</v>
      </c>
      <c r="K18" s="366">
        <f t="shared" si="8"/>
        <v>0</v>
      </c>
      <c r="L18" s="367"/>
      <c r="M18" s="357"/>
      <c r="N18" s="357"/>
      <c r="O18" s="349"/>
      <c r="P18" s="353"/>
      <c r="Q18" s="354"/>
      <c r="R18" s="47" t="s">
        <v>12</v>
      </c>
      <c r="S18" s="335">
        <f>$P$41*0.3*(保険税試算!D15)/12</f>
        <v>0</v>
      </c>
      <c r="T18" s="335"/>
      <c r="U18" s="47" t="s">
        <v>12</v>
      </c>
      <c r="V18" s="335">
        <f>$P$41*0.5*(保険税試算!D15)/12</f>
        <v>0</v>
      </c>
      <c r="W18" s="335"/>
      <c r="X18" s="47" t="s">
        <v>12</v>
      </c>
      <c r="Y18" s="335">
        <f>$P$41*0.8*(保険税試算!D15)/12</f>
        <v>0</v>
      </c>
      <c r="Z18" s="335"/>
      <c r="AA18" s="47" t="s">
        <v>12</v>
      </c>
      <c r="AB18" s="335">
        <f>P41*(保険税試算!D15)/12</f>
        <v>0</v>
      </c>
      <c r="AC18" s="335"/>
      <c r="AD18" s="47" t="s">
        <v>12</v>
      </c>
      <c r="AE18" s="47">
        <f t="shared" si="4"/>
        <v>0</v>
      </c>
      <c r="AF18" s="47">
        <f t="shared" si="5"/>
        <v>0</v>
      </c>
      <c r="AG18" s="47">
        <f t="shared" si="6"/>
        <v>0</v>
      </c>
      <c r="AH18" s="47">
        <f t="shared" si="1"/>
        <v>0</v>
      </c>
      <c r="AI18" s="66">
        <f>IF(COUNTIF(保険税試算!$L$15,"○"),SUM(AE18:AH18)/2*-1,0)</f>
        <v>0</v>
      </c>
      <c r="AJ18" s="46">
        <f t="shared" si="2"/>
        <v>0</v>
      </c>
      <c r="AK18" s="206"/>
      <c r="AL18" s="206"/>
      <c r="AM18" s="206"/>
      <c r="AN18" s="206"/>
      <c r="AO18" s="22"/>
      <c r="AP18" s="22"/>
      <c r="AQ18" s="22"/>
      <c r="AR18" s="22"/>
      <c r="AS18" s="22"/>
    </row>
    <row r="19" spans="1:45" ht="18.75" x14ac:dyDescent="0.15">
      <c r="A19" s="338"/>
      <c r="B19" s="339"/>
      <c r="C19" s="344"/>
      <c r="D19" s="345"/>
      <c r="E19" s="25" t="s">
        <v>13</v>
      </c>
      <c r="F19" s="361">
        <f>IF(保険税試算!E15="○",C17*$R$37*保険税試算!D15/12,0)</f>
        <v>0</v>
      </c>
      <c r="G19" s="361"/>
      <c r="H19" s="361"/>
      <c r="I19" s="361"/>
      <c r="J19" s="25" t="s">
        <v>13</v>
      </c>
      <c r="K19" s="404">
        <f t="shared" si="8"/>
        <v>0</v>
      </c>
      <c r="L19" s="405"/>
      <c r="M19" s="357"/>
      <c r="N19" s="357"/>
      <c r="O19" s="349"/>
      <c r="P19" s="353"/>
      <c r="Q19" s="354"/>
      <c r="R19" s="48" t="s">
        <v>13</v>
      </c>
      <c r="S19" s="334">
        <f>$R$41*0.3*(保険税試算!F15)/12</f>
        <v>0</v>
      </c>
      <c r="T19" s="334"/>
      <c r="U19" s="48" t="s">
        <v>13</v>
      </c>
      <c r="V19" s="334">
        <f>$R$41*0.5*(保険税試算!F15)/12</f>
        <v>0</v>
      </c>
      <c r="W19" s="334"/>
      <c r="X19" s="48" t="s">
        <v>13</v>
      </c>
      <c r="Y19" s="334">
        <f>$R$41*0.8*(保険税試算!F15)/12</f>
        <v>0</v>
      </c>
      <c r="Z19" s="334"/>
      <c r="AA19" s="48" t="s">
        <v>13</v>
      </c>
      <c r="AB19" s="334">
        <f>R41*(保険税試算!F15)/12</f>
        <v>0</v>
      </c>
      <c r="AC19" s="334"/>
      <c r="AD19" s="48" t="s">
        <v>13</v>
      </c>
      <c r="AE19" s="48">
        <f t="shared" si="4"/>
        <v>0</v>
      </c>
      <c r="AF19" s="48">
        <f t="shared" si="5"/>
        <v>0</v>
      </c>
      <c r="AG19" s="48">
        <f t="shared" si="6"/>
        <v>0</v>
      </c>
      <c r="AH19" s="48">
        <f t="shared" si="1"/>
        <v>0</v>
      </c>
      <c r="AI19" s="66">
        <f>IF(COUNTIF(保険税試算!$L$15,"○"),SUM(AE19:AH19)/2*-1,0)</f>
        <v>0</v>
      </c>
      <c r="AJ19" s="46">
        <f t="shared" si="2"/>
        <v>0</v>
      </c>
      <c r="AK19" s="206"/>
      <c r="AL19" s="206"/>
      <c r="AM19" s="206"/>
      <c r="AN19" s="206"/>
      <c r="AO19" s="22"/>
      <c r="AP19" s="22"/>
      <c r="AQ19" s="22"/>
      <c r="AR19" s="22"/>
      <c r="AS19" s="22"/>
    </row>
    <row r="20" spans="1:45" ht="18.75" x14ac:dyDescent="0.15">
      <c r="A20" s="340"/>
      <c r="B20" s="341"/>
      <c r="C20" s="346"/>
      <c r="D20" s="347"/>
      <c r="E20" s="72" t="s">
        <v>125</v>
      </c>
      <c r="F20" s="358">
        <f>(C17*$T$37)*(保険税試算!D15/12)</f>
        <v>0</v>
      </c>
      <c r="G20" s="359"/>
      <c r="H20" s="359"/>
      <c r="I20" s="360"/>
      <c r="J20" s="72" t="s">
        <v>125</v>
      </c>
      <c r="K20" s="358">
        <f>IF(保険税試算!G15="○",0,(IF(修正不可!AJ20&gt;0,修正不可!AJ20,0)))</f>
        <v>0</v>
      </c>
      <c r="L20" s="360"/>
      <c r="M20" s="357"/>
      <c r="N20" s="357"/>
      <c r="O20" s="350"/>
      <c r="P20" s="355"/>
      <c r="Q20" s="356"/>
      <c r="R20" s="73" t="s">
        <v>125</v>
      </c>
      <c r="S20" s="324">
        <f>ROUNDDOWN($T$41*0.3*(保険税試算!D15)/12,0)</f>
        <v>0</v>
      </c>
      <c r="T20" s="325"/>
      <c r="U20" s="73" t="s">
        <v>125</v>
      </c>
      <c r="V20" s="324">
        <f>$T$41*0.5*(保険税試算!D15)/12-1</f>
        <v>-1</v>
      </c>
      <c r="W20" s="325"/>
      <c r="X20" s="73" t="s">
        <v>125</v>
      </c>
      <c r="Y20" s="324">
        <f>ROUNDDOWN($T$41*0.8*(保険税試算!D15)/12,0)</f>
        <v>0</v>
      </c>
      <c r="Z20" s="325"/>
      <c r="AA20" s="73" t="s">
        <v>125</v>
      </c>
      <c r="AB20" s="324">
        <f>T41*(保険税試算!D15)/12</f>
        <v>0</v>
      </c>
      <c r="AC20" s="325"/>
      <c r="AD20" s="73" t="s">
        <v>125</v>
      </c>
      <c r="AE20" s="74">
        <f t="shared" si="4"/>
        <v>0</v>
      </c>
      <c r="AF20" s="74">
        <f t="shared" si="5"/>
        <v>0</v>
      </c>
      <c r="AG20" s="74">
        <f t="shared" si="6"/>
        <v>0</v>
      </c>
      <c r="AH20" s="74">
        <f t="shared" si="1"/>
        <v>0</v>
      </c>
      <c r="AI20" s="66">
        <f>IF(COUNTIF(保険税試算!$L$15,"○"),SUM(AE20:AH20)/2*-1,0)</f>
        <v>0</v>
      </c>
      <c r="AJ20" s="46">
        <f t="shared" si="2"/>
        <v>0</v>
      </c>
      <c r="AK20" s="27"/>
      <c r="AL20" s="27"/>
      <c r="AM20" s="27"/>
      <c r="AN20" s="27"/>
      <c r="AO20" s="27"/>
      <c r="AP20" s="27"/>
      <c r="AQ20" s="27"/>
      <c r="AR20" s="27"/>
      <c r="AS20" s="27"/>
    </row>
    <row r="21" spans="1:45" ht="18.75" x14ac:dyDescent="0.15">
      <c r="A21" s="336">
        <f>MAX(P21,0)</f>
        <v>0</v>
      </c>
      <c r="B21" s="337"/>
      <c r="C21" s="342">
        <f>MAX(O21,0)</f>
        <v>0</v>
      </c>
      <c r="D21" s="343"/>
      <c r="E21" s="28" t="s">
        <v>11</v>
      </c>
      <c r="F21" s="362">
        <f>(C21*$O$37)*(保険税試算!D18/12)</f>
        <v>0</v>
      </c>
      <c r="G21" s="362"/>
      <c r="H21" s="362"/>
      <c r="I21" s="362"/>
      <c r="J21" s="28" t="s">
        <v>11</v>
      </c>
      <c r="K21" s="363">
        <f t="shared" ref="K21:K23" si="9">AJ21</f>
        <v>0</v>
      </c>
      <c r="L21" s="364"/>
      <c r="M21" s="357"/>
      <c r="N21" s="357"/>
      <c r="O21" s="348">
        <f>保険税試算!H18-430000</f>
        <v>-430000</v>
      </c>
      <c r="P21" s="351">
        <f>IF(保険税試算!J18="○",保険税試算!H18-150000,保険税試算!H18)</f>
        <v>0</v>
      </c>
      <c r="Q21" s="352"/>
      <c r="R21" s="45" t="s">
        <v>11</v>
      </c>
      <c r="S21" s="333">
        <f>$O$41*0.3*(保険税試算!D18)/12</f>
        <v>0</v>
      </c>
      <c r="T21" s="333"/>
      <c r="U21" s="45" t="s">
        <v>11</v>
      </c>
      <c r="V21" s="333">
        <f>$O$41*0.5*(保険税試算!D18)/12</f>
        <v>0</v>
      </c>
      <c r="W21" s="333"/>
      <c r="X21" s="45" t="s">
        <v>11</v>
      </c>
      <c r="Y21" s="333">
        <f>$O$41*0.8*(保険税試算!D18)/12</f>
        <v>0</v>
      </c>
      <c r="Z21" s="333"/>
      <c r="AA21" s="45" t="s">
        <v>11</v>
      </c>
      <c r="AB21" s="333">
        <f>O41*(保険税試算!D18)/12</f>
        <v>0</v>
      </c>
      <c r="AC21" s="333"/>
      <c r="AD21" s="45" t="s">
        <v>11</v>
      </c>
      <c r="AE21" s="45">
        <f t="shared" si="4"/>
        <v>0</v>
      </c>
      <c r="AF21" s="45">
        <f t="shared" si="5"/>
        <v>0</v>
      </c>
      <c r="AG21" s="45">
        <f t="shared" si="6"/>
        <v>0</v>
      </c>
      <c r="AH21" s="45">
        <f t="shared" si="1"/>
        <v>0</v>
      </c>
      <c r="AI21" s="67">
        <f>IF(COUNTIF(保険税試算!$L$18,"○"),SUM(AE21:AH21)/2*-1,0)</f>
        <v>0</v>
      </c>
      <c r="AJ21" s="46">
        <f t="shared" si="2"/>
        <v>0</v>
      </c>
      <c r="AK21" s="22"/>
      <c r="AL21" s="22"/>
      <c r="AM21" s="22"/>
      <c r="AN21" s="22"/>
      <c r="AO21" s="22"/>
      <c r="AP21" s="22"/>
      <c r="AQ21" s="22"/>
      <c r="AR21" s="22"/>
      <c r="AS21" s="22"/>
    </row>
    <row r="22" spans="1:45" ht="18.75" x14ac:dyDescent="0.15">
      <c r="A22" s="338"/>
      <c r="B22" s="339"/>
      <c r="C22" s="344"/>
      <c r="D22" s="345"/>
      <c r="E22" s="29" t="s">
        <v>12</v>
      </c>
      <c r="F22" s="365">
        <f>(C21*$P$37)*(保険税試算!D18/12)</f>
        <v>0</v>
      </c>
      <c r="G22" s="365"/>
      <c r="H22" s="365"/>
      <c r="I22" s="365"/>
      <c r="J22" s="29" t="s">
        <v>12</v>
      </c>
      <c r="K22" s="366">
        <f t="shared" si="9"/>
        <v>0</v>
      </c>
      <c r="L22" s="367"/>
      <c r="M22" s="357"/>
      <c r="N22" s="357"/>
      <c r="O22" s="349"/>
      <c r="P22" s="353"/>
      <c r="Q22" s="354"/>
      <c r="R22" s="47" t="s">
        <v>12</v>
      </c>
      <c r="S22" s="335">
        <f>$P$41*0.3*(保険税試算!D18)/12</f>
        <v>0</v>
      </c>
      <c r="T22" s="335"/>
      <c r="U22" s="47" t="s">
        <v>12</v>
      </c>
      <c r="V22" s="335">
        <f>$P$41*0.5*(保険税試算!D18)/12</f>
        <v>0</v>
      </c>
      <c r="W22" s="335"/>
      <c r="X22" s="47" t="s">
        <v>12</v>
      </c>
      <c r="Y22" s="335">
        <f>$P$41*0.8*(保険税試算!D18)/12</f>
        <v>0</v>
      </c>
      <c r="Z22" s="335"/>
      <c r="AA22" s="47" t="s">
        <v>12</v>
      </c>
      <c r="AB22" s="335">
        <f>P41*(保険税試算!D18)/12</f>
        <v>0</v>
      </c>
      <c r="AC22" s="335"/>
      <c r="AD22" s="47" t="s">
        <v>12</v>
      </c>
      <c r="AE22" s="47">
        <f t="shared" si="4"/>
        <v>0</v>
      </c>
      <c r="AF22" s="47">
        <f t="shared" si="5"/>
        <v>0</v>
      </c>
      <c r="AG22" s="47">
        <f t="shared" si="6"/>
        <v>0</v>
      </c>
      <c r="AH22" s="47">
        <f t="shared" si="1"/>
        <v>0</v>
      </c>
      <c r="AI22" s="67">
        <f>IF(COUNTIF(保険税試算!$L$18,"○"),SUM(AE22:AH22)/2*-1,0)</f>
        <v>0</v>
      </c>
      <c r="AJ22" s="46">
        <f t="shared" si="2"/>
        <v>0</v>
      </c>
      <c r="AK22" s="22"/>
      <c r="AL22" s="22"/>
      <c r="AM22" s="22"/>
      <c r="AN22" s="22"/>
      <c r="AO22" s="22"/>
      <c r="AP22" s="22"/>
      <c r="AQ22" s="22"/>
      <c r="AR22" s="22"/>
      <c r="AS22" s="22"/>
    </row>
    <row r="23" spans="1:45" ht="18.75" x14ac:dyDescent="0.15">
      <c r="A23" s="338"/>
      <c r="B23" s="339"/>
      <c r="C23" s="344"/>
      <c r="D23" s="345"/>
      <c r="E23" s="25" t="s">
        <v>13</v>
      </c>
      <c r="F23" s="361">
        <f>IF(保険税試算!E18="○",C21*$R$37*保険税試算!D18/12,0)</f>
        <v>0</v>
      </c>
      <c r="G23" s="361"/>
      <c r="H23" s="361"/>
      <c r="I23" s="361"/>
      <c r="J23" s="25" t="s">
        <v>13</v>
      </c>
      <c r="K23" s="404">
        <f t="shared" si="9"/>
        <v>0</v>
      </c>
      <c r="L23" s="405"/>
      <c r="M23" s="357"/>
      <c r="N23" s="357"/>
      <c r="O23" s="349"/>
      <c r="P23" s="353"/>
      <c r="Q23" s="354"/>
      <c r="R23" s="48" t="s">
        <v>13</v>
      </c>
      <c r="S23" s="334">
        <f>$R$41*0.3*(保険税試算!F18)/12</f>
        <v>0</v>
      </c>
      <c r="T23" s="334"/>
      <c r="U23" s="48" t="s">
        <v>13</v>
      </c>
      <c r="V23" s="334">
        <f>$R$41*0.5*(保険税試算!F8)/12</f>
        <v>0</v>
      </c>
      <c r="W23" s="334"/>
      <c r="X23" s="48" t="s">
        <v>13</v>
      </c>
      <c r="Y23" s="334">
        <f>$R$41*0.8*(保険税試算!F18)/12</f>
        <v>0</v>
      </c>
      <c r="Z23" s="334"/>
      <c r="AA23" s="48" t="s">
        <v>13</v>
      </c>
      <c r="AB23" s="334">
        <f>R41*(保険税試算!F18)/12</f>
        <v>0</v>
      </c>
      <c r="AC23" s="334"/>
      <c r="AD23" s="48" t="s">
        <v>13</v>
      </c>
      <c r="AE23" s="48">
        <f t="shared" si="4"/>
        <v>0</v>
      </c>
      <c r="AF23" s="48">
        <f t="shared" si="5"/>
        <v>0</v>
      </c>
      <c r="AG23" s="48">
        <f t="shared" si="6"/>
        <v>0</v>
      </c>
      <c r="AH23" s="48">
        <f t="shared" si="1"/>
        <v>0</v>
      </c>
      <c r="AI23" s="67">
        <f>IF(COUNTIF(保険税試算!$L$18,"○"),SUM(AE23:AH23)/2*-1,0)</f>
        <v>0</v>
      </c>
      <c r="AJ23" s="46">
        <f t="shared" si="2"/>
        <v>0</v>
      </c>
      <c r="AK23" s="22"/>
      <c r="AL23" s="22"/>
      <c r="AM23" s="22"/>
      <c r="AN23" s="22"/>
      <c r="AO23" s="22"/>
      <c r="AP23" s="22"/>
      <c r="AQ23" s="22"/>
      <c r="AR23" s="22"/>
      <c r="AS23" s="22"/>
    </row>
    <row r="24" spans="1:45" ht="18.75" x14ac:dyDescent="0.15">
      <c r="A24" s="340"/>
      <c r="B24" s="341"/>
      <c r="C24" s="346"/>
      <c r="D24" s="347"/>
      <c r="E24" s="72" t="s">
        <v>125</v>
      </c>
      <c r="F24" s="358">
        <f>(C21*$T$37)*(保険税試算!D18/12)</f>
        <v>0</v>
      </c>
      <c r="G24" s="359"/>
      <c r="H24" s="359"/>
      <c r="I24" s="360"/>
      <c r="J24" s="72" t="s">
        <v>125</v>
      </c>
      <c r="K24" s="358">
        <f>IF(保険税試算!G18="○",0,(IF(修正不可!AJ24&gt;0,修正不可!AJ24,0)))</f>
        <v>0</v>
      </c>
      <c r="L24" s="360"/>
      <c r="M24" s="357"/>
      <c r="N24" s="357"/>
      <c r="O24" s="350"/>
      <c r="P24" s="355"/>
      <c r="Q24" s="356"/>
      <c r="R24" s="73" t="s">
        <v>125</v>
      </c>
      <c r="S24" s="324">
        <f>ROUNDDOWN($T$41*0.3*(保険税試算!D18)/12,0)</f>
        <v>0</v>
      </c>
      <c r="T24" s="325"/>
      <c r="U24" s="73" t="s">
        <v>125</v>
      </c>
      <c r="V24" s="324">
        <f>$T$41*0.5*(保険税試算!D18)/12-1</f>
        <v>-1</v>
      </c>
      <c r="W24" s="325"/>
      <c r="X24" s="73" t="s">
        <v>125</v>
      </c>
      <c r="Y24" s="324">
        <f>ROUNDDOWN($T$41*0.8*(保険税試算!D18)/12,0)</f>
        <v>0</v>
      </c>
      <c r="Z24" s="325"/>
      <c r="AA24" s="73" t="s">
        <v>125</v>
      </c>
      <c r="AB24" s="324">
        <f>T41*(保険税試算!D18)/12</f>
        <v>0</v>
      </c>
      <c r="AC24" s="325"/>
      <c r="AD24" s="73" t="s">
        <v>125</v>
      </c>
      <c r="AE24" s="74">
        <f t="shared" si="4"/>
        <v>0</v>
      </c>
      <c r="AF24" s="74">
        <f t="shared" si="5"/>
        <v>0</v>
      </c>
      <c r="AG24" s="74">
        <f t="shared" si="6"/>
        <v>0</v>
      </c>
      <c r="AH24" s="74">
        <f t="shared" si="1"/>
        <v>0</v>
      </c>
      <c r="AI24" s="67">
        <f>IF(COUNTIF(保険税試算!$L$18,"○"),SUM(AE24:AH24)/2*-1,0)</f>
        <v>0</v>
      </c>
      <c r="AJ24" s="46">
        <f t="shared" si="2"/>
        <v>0</v>
      </c>
      <c r="AK24" s="27"/>
      <c r="AL24" s="27"/>
      <c r="AM24" s="27"/>
      <c r="AN24" s="27"/>
      <c r="AO24" s="27"/>
      <c r="AP24" s="27"/>
      <c r="AQ24" s="27"/>
      <c r="AR24" s="27"/>
      <c r="AS24" s="27"/>
    </row>
    <row r="25" spans="1:45" ht="18.75" x14ac:dyDescent="0.15">
      <c r="A25" s="336">
        <f t="shared" ref="A25" si="10">MAX(P25,0)</f>
        <v>0</v>
      </c>
      <c r="B25" s="337"/>
      <c r="C25" s="342">
        <f t="shared" ref="C25" si="11">MAX(O25,0)</f>
        <v>0</v>
      </c>
      <c r="D25" s="343"/>
      <c r="E25" s="28" t="s">
        <v>11</v>
      </c>
      <c r="F25" s="362">
        <f>(C25*$O$37)*(保険税試算!D21/12)</f>
        <v>0</v>
      </c>
      <c r="G25" s="362"/>
      <c r="H25" s="362"/>
      <c r="I25" s="362"/>
      <c r="J25" s="28" t="s">
        <v>11</v>
      </c>
      <c r="K25" s="363">
        <f t="shared" ref="K25:K27" si="12">AJ25</f>
        <v>0</v>
      </c>
      <c r="L25" s="364"/>
      <c r="M25" s="357"/>
      <c r="N25" s="357"/>
      <c r="O25" s="348">
        <f>保険税試算!H21-430000</f>
        <v>-430000</v>
      </c>
      <c r="P25" s="351">
        <f>IF(保険税試算!J21="○",保険税試算!H21-150000,保険税試算!H21)</f>
        <v>0</v>
      </c>
      <c r="Q25" s="352"/>
      <c r="R25" s="45" t="s">
        <v>11</v>
      </c>
      <c r="S25" s="333">
        <f>$O$41*0.3*(保険税試算!D21)/12</f>
        <v>0</v>
      </c>
      <c r="T25" s="333"/>
      <c r="U25" s="45" t="s">
        <v>11</v>
      </c>
      <c r="V25" s="333">
        <f>$O$41*0.5*(保険税試算!D21)/12</f>
        <v>0</v>
      </c>
      <c r="W25" s="333"/>
      <c r="X25" s="45" t="s">
        <v>11</v>
      </c>
      <c r="Y25" s="333">
        <f>$O$41*0.8*(保険税試算!D21)/12</f>
        <v>0</v>
      </c>
      <c r="Z25" s="333"/>
      <c r="AA25" s="45" t="s">
        <v>11</v>
      </c>
      <c r="AB25" s="333">
        <f>O41*(保険税試算!D21)/12</f>
        <v>0</v>
      </c>
      <c r="AC25" s="333"/>
      <c r="AD25" s="45" t="s">
        <v>11</v>
      </c>
      <c r="AE25" s="45">
        <f t="shared" si="4"/>
        <v>0</v>
      </c>
      <c r="AF25" s="45">
        <f t="shared" si="5"/>
        <v>0</v>
      </c>
      <c r="AG25" s="45">
        <f t="shared" si="6"/>
        <v>0</v>
      </c>
      <c r="AH25" s="45">
        <f t="shared" si="1"/>
        <v>0</v>
      </c>
      <c r="AI25" s="66">
        <f>IF(COUNTIF(保険税試算!$L$21,"○"),SUM(AE25:AH25)/2*-1,0)</f>
        <v>0</v>
      </c>
      <c r="AJ25" s="46">
        <f t="shared" si="2"/>
        <v>0</v>
      </c>
      <c r="AK25" s="22"/>
      <c r="AL25" s="22"/>
      <c r="AM25" s="22"/>
      <c r="AN25" s="22"/>
      <c r="AO25" s="22"/>
      <c r="AP25" s="22"/>
      <c r="AQ25" s="22"/>
      <c r="AR25" s="22"/>
      <c r="AS25" s="22"/>
    </row>
    <row r="26" spans="1:45" ht="18.75" x14ac:dyDescent="0.15">
      <c r="A26" s="338"/>
      <c r="B26" s="339"/>
      <c r="C26" s="344"/>
      <c r="D26" s="345"/>
      <c r="E26" s="29" t="s">
        <v>12</v>
      </c>
      <c r="F26" s="365">
        <f>(C25*$P$37)*(保険税試算!D21/12)</f>
        <v>0</v>
      </c>
      <c r="G26" s="365"/>
      <c r="H26" s="365"/>
      <c r="I26" s="365"/>
      <c r="J26" s="29" t="s">
        <v>12</v>
      </c>
      <c r="K26" s="366">
        <f t="shared" si="12"/>
        <v>0</v>
      </c>
      <c r="L26" s="367"/>
      <c r="M26" s="357"/>
      <c r="N26" s="357"/>
      <c r="O26" s="349"/>
      <c r="P26" s="353"/>
      <c r="Q26" s="354"/>
      <c r="R26" s="47" t="s">
        <v>12</v>
      </c>
      <c r="S26" s="335">
        <f>$P$41*0.3*(保険税試算!D21)/12</f>
        <v>0</v>
      </c>
      <c r="T26" s="335"/>
      <c r="U26" s="47" t="s">
        <v>12</v>
      </c>
      <c r="V26" s="335">
        <f>$P$41*0.5*(保険税試算!D21)/12</f>
        <v>0</v>
      </c>
      <c r="W26" s="335"/>
      <c r="X26" s="47" t="s">
        <v>12</v>
      </c>
      <c r="Y26" s="335">
        <f>$P$41*0.8*(保険税試算!D21)/12</f>
        <v>0</v>
      </c>
      <c r="Z26" s="335"/>
      <c r="AA26" s="47" t="s">
        <v>12</v>
      </c>
      <c r="AB26" s="335">
        <f>P41*(保険税試算!D21)/12</f>
        <v>0</v>
      </c>
      <c r="AC26" s="335"/>
      <c r="AD26" s="47" t="s">
        <v>12</v>
      </c>
      <c r="AE26" s="47">
        <f t="shared" si="4"/>
        <v>0</v>
      </c>
      <c r="AF26" s="47">
        <f t="shared" si="5"/>
        <v>0</v>
      </c>
      <c r="AG26" s="47">
        <f t="shared" si="6"/>
        <v>0</v>
      </c>
      <c r="AH26" s="47">
        <f t="shared" si="1"/>
        <v>0</v>
      </c>
      <c r="AI26" s="66">
        <f>IF(COUNTIF(保険税試算!$L$21,"○"),SUM(AE26:AH26)/2*-1,0)</f>
        <v>0</v>
      </c>
      <c r="AJ26" s="46">
        <f t="shared" si="2"/>
        <v>0</v>
      </c>
      <c r="AK26" s="22"/>
      <c r="AL26" s="22"/>
      <c r="AM26" s="22"/>
      <c r="AN26" s="22"/>
      <c r="AO26" s="22"/>
      <c r="AP26" s="22"/>
      <c r="AQ26" s="22"/>
      <c r="AR26" s="22"/>
      <c r="AS26" s="22"/>
    </row>
    <row r="27" spans="1:45" ht="18.75" x14ac:dyDescent="0.15">
      <c r="A27" s="338"/>
      <c r="B27" s="339"/>
      <c r="C27" s="344"/>
      <c r="D27" s="345"/>
      <c r="E27" s="25" t="s">
        <v>13</v>
      </c>
      <c r="F27" s="361">
        <f>IF(保険税試算!E21="○",C25*$R$37*保険税試算!D21/12,0)</f>
        <v>0</v>
      </c>
      <c r="G27" s="361"/>
      <c r="H27" s="361"/>
      <c r="I27" s="361"/>
      <c r="J27" s="25" t="s">
        <v>13</v>
      </c>
      <c r="K27" s="404">
        <f t="shared" si="12"/>
        <v>0</v>
      </c>
      <c r="L27" s="405"/>
      <c r="M27" s="357"/>
      <c r="N27" s="357"/>
      <c r="O27" s="349"/>
      <c r="P27" s="353"/>
      <c r="Q27" s="354"/>
      <c r="R27" s="48" t="s">
        <v>13</v>
      </c>
      <c r="S27" s="334">
        <f>$R$41*0.3*(保険税試算!F21)/12</f>
        <v>0</v>
      </c>
      <c r="T27" s="334"/>
      <c r="U27" s="48" t="s">
        <v>13</v>
      </c>
      <c r="V27" s="334">
        <f>$R$41*0.5*(保険税試算!F21)/12</f>
        <v>0</v>
      </c>
      <c r="W27" s="334"/>
      <c r="X27" s="48" t="s">
        <v>13</v>
      </c>
      <c r="Y27" s="334">
        <f>$R$41*0.8*(保険税試算!F21)/12</f>
        <v>0</v>
      </c>
      <c r="Z27" s="334"/>
      <c r="AA27" s="48" t="s">
        <v>13</v>
      </c>
      <c r="AB27" s="334">
        <f>R41*(保険税試算!F21)/12</f>
        <v>0</v>
      </c>
      <c r="AC27" s="334"/>
      <c r="AD27" s="48" t="s">
        <v>13</v>
      </c>
      <c r="AE27" s="48">
        <f t="shared" si="4"/>
        <v>0</v>
      </c>
      <c r="AF27" s="48">
        <f t="shared" si="5"/>
        <v>0</v>
      </c>
      <c r="AG27" s="48">
        <f t="shared" si="6"/>
        <v>0</v>
      </c>
      <c r="AH27" s="48">
        <f t="shared" si="1"/>
        <v>0</v>
      </c>
      <c r="AI27" s="66">
        <f>IF(COUNTIF(保険税試算!$L$21,"○"),SUM(AE27:AH27)/2*-1,0)</f>
        <v>0</v>
      </c>
      <c r="AJ27" s="46">
        <f t="shared" si="2"/>
        <v>0</v>
      </c>
      <c r="AK27" s="22"/>
      <c r="AL27" s="22"/>
      <c r="AM27" s="22"/>
      <c r="AN27" s="22"/>
      <c r="AO27" s="22"/>
      <c r="AP27" s="22"/>
      <c r="AQ27" s="22"/>
      <c r="AR27" s="22"/>
      <c r="AS27" s="22"/>
    </row>
    <row r="28" spans="1:45" ht="18.75" x14ac:dyDescent="0.15">
      <c r="A28" s="340"/>
      <c r="B28" s="341"/>
      <c r="C28" s="346"/>
      <c r="D28" s="347"/>
      <c r="E28" s="72" t="s">
        <v>125</v>
      </c>
      <c r="F28" s="358">
        <f>(C25*$T$37)*(保険税試算!D21/12)</f>
        <v>0</v>
      </c>
      <c r="G28" s="359"/>
      <c r="H28" s="359"/>
      <c r="I28" s="360"/>
      <c r="J28" s="72" t="s">
        <v>125</v>
      </c>
      <c r="K28" s="358">
        <f>IF(保険税試算!G21="○",0,(IF(修正不可!AJ28&gt;0,修正不可!AJ28,0)))</f>
        <v>0</v>
      </c>
      <c r="L28" s="360"/>
      <c r="M28" s="357"/>
      <c r="N28" s="357"/>
      <c r="O28" s="350"/>
      <c r="P28" s="355"/>
      <c r="Q28" s="356"/>
      <c r="R28" s="73" t="s">
        <v>125</v>
      </c>
      <c r="S28" s="324">
        <f>ROUNDDOWN($T$41*0.3*(保険税試算!D21)/12,0)</f>
        <v>0</v>
      </c>
      <c r="T28" s="325"/>
      <c r="U28" s="73" t="s">
        <v>125</v>
      </c>
      <c r="V28" s="324">
        <f>$T$41*0.5*(保険税試算!D21)/12-1</f>
        <v>-1</v>
      </c>
      <c r="W28" s="325"/>
      <c r="X28" s="73" t="s">
        <v>125</v>
      </c>
      <c r="Y28" s="324">
        <f>ROUNDDOWN($T$41*0.8*(保険税試算!D21)/12,0)</f>
        <v>0</v>
      </c>
      <c r="Z28" s="325"/>
      <c r="AA28" s="73" t="s">
        <v>125</v>
      </c>
      <c r="AB28" s="324">
        <f>T41*(保険税試算!D21)/12</f>
        <v>0</v>
      </c>
      <c r="AC28" s="325"/>
      <c r="AD28" s="73" t="s">
        <v>125</v>
      </c>
      <c r="AE28" s="74">
        <f t="shared" si="4"/>
        <v>0</v>
      </c>
      <c r="AF28" s="74">
        <f t="shared" si="5"/>
        <v>0</v>
      </c>
      <c r="AG28" s="74">
        <f t="shared" si="6"/>
        <v>0</v>
      </c>
      <c r="AH28" s="74">
        <f t="shared" si="1"/>
        <v>0</v>
      </c>
      <c r="AI28" s="66">
        <f>IF(COUNTIF(保険税試算!$L$21,"○"),SUM(AE28:AH28)/2*-1,0)</f>
        <v>0</v>
      </c>
      <c r="AJ28" s="46">
        <f t="shared" si="2"/>
        <v>0</v>
      </c>
      <c r="AK28" s="27"/>
      <c r="AL28" s="27"/>
      <c r="AM28" s="27"/>
      <c r="AN28" s="27"/>
      <c r="AO28" s="27"/>
      <c r="AP28" s="27"/>
      <c r="AQ28" s="27"/>
      <c r="AR28" s="27"/>
      <c r="AS28" s="27"/>
    </row>
    <row r="29" spans="1:45" ht="18.75" x14ac:dyDescent="0.15">
      <c r="A29" s="336">
        <f t="shared" ref="A29" si="13">MAX(P29,0)</f>
        <v>0</v>
      </c>
      <c r="B29" s="337"/>
      <c r="C29" s="342">
        <f t="shared" ref="C29" si="14">MAX(O29,0)</f>
        <v>0</v>
      </c>
      <c r="D29" s="343"/>
      <c r="E29" s="28" t="s">
        <v>11</v>
      </c>
      <c r="F29" s="362">
        <f>(C29*$O$37)*(保険税試算!D24/12)</f>
        <v>0</v>
      </c>
      <c r="G29" s="362"/>
      <c r="H29" s="362"/>
      <c r="I29" s="362"/>
      <c r="J29" s="28" t="s">
        <v>11</v>
      </c>
      <c r="K29" s="363">
        <f t="shared" ref="K29:K31" si="15">AJ29</f>
        <v>0</v>
      </c>
      <c r="L29" s="364"/>
      <c r="M29" s="357"/>
      <c r="N29" s="357"/>
      <c r="O29" s="348">
        <f>保険税試算!H24-430000</f>
        <v>-430000</v>
      </c>
      <c r="P29" s="351">
        <f>IF(保険税試算!J24="○",保険税試算!H24-150000,保険税試算!H24)</f>
        <v>0</v>
      </c>
      <c r="Q29" s="352"/>
      <c r="R29" s="45" t="s">
        <v>11</v>
      </c>
      <c r="S29" s="333">
        <f>$O$41*0.3*(保険税試算!D24)/12</f>
        <v>0</v>
      </c>
      <c r="T29" s="333"/>
      <c r="U29" s="45" t="s">
        <v>11</v>
      </c>
      <c r="V29" s="333">
        <f>$O$41*0.5*(保険税試算!D24)/12</f>
        <v>0</v>
      </c>
      <c r="W29" s="333"/>
      <c r="X29" s="45" t="s">
        <v>11</v>
      </c>
      <c r="Y29" s="333">
        <f>$O$41*0.8*(保険税試算!D24)/12</f>
        <v>0</v>
      </c>
      <c r="Z29" s="333"/>
      <c r="AA29" s="45" t="s">
        <v>11</v>
      </c>
      <c r="AB29" s="333">
        <f>O41*(保険税試算!D24)/12</f>
        <v>0</v>
      </c>
      <c r="AC29" s="333"/>
      <c r="AD29" s="45" t="s">
        <v>11</v>
      </c>
      <c r="AE29" s="45">
        <f t="shared" si="4"/>
        <v>0</v>
      </c>
      <c r="AF29" s="45">
        <f t="shared" si="5"/>
        <v>0</v>
      </c>
      <c r="AG29" s="45">
        <f t="shared" si="6"/>
        <v>0</v>
      </c>
      <c r="AH29" s="45">
        <f t="shared" si="1"/>
        <v>0</v>
      </c>
      <c r="AI29" s="67">
        <f>IF(COUNTIF(保険税試算!$L$24,"○"),SUM(AE29:AH29)/2*-1,0)</f>
        <v>0</v>
      </c>
      <c r="AJ29" s="46">
        <f t="shared" si="2"/>
        <v>0</v>
      </c>
      <c r="AK29" s="22"/>
      <c r="AL29" s="22"/>
      <c r="AM29" s="22"/>
      <c r="AN29" s="22"/>
      <c r="AO29" s="22"/>
      <c r="AP29" s="22"/>
      <c r="AQ29" s="22"/>
      <c r="AR29" s="22"/>
      <c r="AS29" s="22"/>
    </row>
    <row r="30" spans="1:45" ht="18.75" x14ac:dyDescent="0.15">
      <c r="A30" s="338"/>
      <c r="B30" s="339"/>
      <c r="C30" s="344"/>
      <c r="D30" s="345"/>
      <c r="E30" s="29" t="s">
        <v>12</v>
      </c>
      <c r="F30" s="365">
        <f>(C29*$P$37)*(保険税試算!D24/12)</f>
        <v>0</v>
      </c>
      <c r="G30" s="365"/>
      <c r="H30" s="365"/>
      <c r="I30" s="365"/>
      <c r="J30" s="29" t="s">
        <v>12</v>
      </c>
      <c r="K30" s="366">
        <f t="shared" si="15"/>
        <v>0</v>
      </c>
      <c r="L30" s="367"/>
      <c r="M30" s="357"/>
      <c r="N30" s="357"/>
      <c r="O30" s="349"/>
      <c r="P30" s="353"/>
      <c r="Q30" s="354"/>
      <c r="R30" s="47" t="s">
        <v>12</v>
      </c>
      <c r="S30" s="335">
        <f>$P$41*0.3*(保険税試算!D24)/12</f>
        <v>0</v>
      </c>
      <c r="T30" s="335"/>
      <c r="U30" s="47" t="s">
        <v>12</v>
      </c>
      <c r="V30" s="335">
        <f>$P$41*0.5*(保険税試算!D24)/12</f>
        <v>0</v>
      </c>
      <c r="W30" s="335"/>
      <c r="X30" s="47" t="s">
        <v>12</v>
      </c>
      <c r="Y30" s="335">
        <f>$P$41*0.8*(保険税試算!D24)/12</f>
        <v>0</v>
      </c>
      <c r="Z30" s="335"/>
      <c r="AA30" s="47" t="s">
        <v>12</v>
      </c>
      <c r="AB30" s="335">
        <f>P41*(保険税試算!D24)/12</f>
        <v>0</v>
      </c>
      <c r="AC30" s="335"/>
      <c r="AD30" s="47" t="s">
        <v>12</v>
      </c>
      <c r="AE30" s="47">
        <f t="shared" si="4"/>
        <v>0</v>
      </c>
      <c r="AF30" s="47">
        <f t="shared" si="5"/>
        <v>0</v>
      </c>
      <c r="AG30" s="47">
        <f t="shared" si="6"/>
        <v>0</v>
      </c>
      <c r="AH30" s="47">
        <f t="shared" si="1"/>
        <v>0</v>
      </c>
      <c r="AI30" s="67">
        <f>IF(COUNTIF(保険税試算!$L$24,"○"),SUM(AE30:AH30)/2*-1,0)</f>
        <v>0</v>
      </c>
      <c r="AJ30" s="46">
        <f t="shared" si="2"/>
        <v>0</v>
      </c>
      <c r="AK30" s="22"/>
      <c r="AL30" s="22"/>
      <c r="AM30" s="22"/>
      <c r="AN30" s="22"/>
      <c r="AO30" s="22"/>
      <c r="AP30" s="22"/>
      <c r="AQ30" s="22"/>
      <c r="AR30" s="22"/>
      <c r="AS30" s="22"/>
    </row>
    <row r="31" spans="1:45" ht="18.75" x14ac:dyDescent="0.15">
      <c r="A31" s="338"/>
      <c r="B31" s="339"/>
      <c r="C31" s="344"/>
      <c r="D31" s="345"/>
      <c r="E31" s="25" t="s">
        <v>13</v>
      </c>
      <c r="F31" s="361">
        <f>IF(保険税試算!E24="○",C29*$R$37*保険税試算!D24/12,0)</f>
        <v>0</v>
      </c>
      <c r="G31" s="361"/>
      <c r="H31" s="361"/>
      <c r="I31" s="361"/>
      <c r="J31" s="25" t="s">
        <v>13</v>
      </c>
      <c r="K31" s="404">
        <f t="shared" si="15"/>
        <v>0</v>
      </c>
      <c r="L31" s="405"/>
      <c r="M31" s="357"/>
      <c r="N31" s="357"/>
      <c r="O31" s="349"/>
      <c r="P31" s="353"/>
      <c r="Q31" s="354"/>
      <c r="R31" s="48" t="s">
        <v>13</v>
      </c>
      <c r="S31" s="334">
        <f>$R$41*0.3*(保険税試算!F24)/12</f>
        <v>0</v>
      </c>
      <c r="T31" s="334"/>
      <c r="U31" s="48" t="s">
        <v>13</v>
      </c>
      <c r="V31" s="334">
        <f>$R$41*0.5*(保険税試算!F24)/12</f>
        <v>0</v>
      </c>
      <c r="W31" s="334"/>
      <c r="X31" s="48" t="s">
        <v>13</v>
      </c>
      <c r="Y31" s="334">
        <f>$R$41*0.8*(保険税試算!F24)/12</f>
        <v>0</v>
      </c>
      <c r="Z31" s="334"/>
      <c r="AA31" s="48" t="s">
        <v>13</v>
      </c>
      <c r="AB31" s="334">
        <f>R41*(保険税試算!F24)/12</f>
        <v>0</v>
      </c>
      <c r="AC31" s="334"/>
      <c r="AD31" s="48" t="s">
        <v>13</v>
      </c>
      <c r="AE31" s="48">
        <f t="shared" si="4"/>
        <v>0</v>
      </c>
      <c r="AF31" s="48">
        <f t="shared" si="5"/>
        <v>0</v>
      </c>
      <c r="AG31" s="48">
        <f t="shared" si="6"/>
        <v>0</v>
      </c>
      <c r="AH31" s="48">
        <f t="shared" si="1"/>
        <v>0</v>
      </c>
      <c r="AI31" s="67">
        <f>IF(COUNTIF(保険税試算!$L$24,"○"),SUM(AE31:AH31)/2*-1,0)</f>
        <v>0</v>
      </c>
      <c r="AJ31" s="46">
        <f t="shared" si="2"/>
        <v>0</v>
      </c>
      <c r="AK31" s="22"/>
      <c r="AL31" s="22"/>
      <c r="AM31" s="22"/>
      <c r="AN31" s="22"/>
      <c r="AO31" s="22"/>
      <c r="AP31" s="22"/>
      <c r="AQ31" s="22"/>
      <c r="AR31" s="22"/>
      <c r="AS31" s="22"/>
    </row>
    <row r="32" spans="1:45" ht="18.75" x14ac:dyDescent="0.15">
      <c r="A32" s="340"/>
      <c r="B32" s="341"/>
      <c r="C32" s="346"/>
      <c r="D32" s="347"/>
      <c r="E32" s="72" t="s">
        <v>125</v>
      </c>
      <c r="F32" s="358">
        <f>(C29*$T$37)*(保険税試算!D24/12)</f>
        <v>0</v>
      </c>
      <c r="G32" s="359"/>
      <c r="H32" s="359"/>
      <c r="I32" s="360"/>
      <c r="J32" s="72" t="s">
        <v>125</v>
      </c>
      <c r="K32" s="358">
        <f>IF(保険税試算!G24="○",0,(IF(修正不可!AJ32&gt;0,修正不可!AJ32,0)))</f>
        <v>0</v>
      </c>
      <c r="L32" s="360"/>
      <c r="M32" s="357"/>
      <c r="N32" s="357"/>
      <c r="O32" s="350"/>
      <c r="P32" s="355"/>
      <c r="Q32" s="356"/>
      <c r="R32" s="73" t="s">
        <v>125</v>
      </c>
      <c r="S32" s="324">
        <f>ROUNDDOWN($T$41*0.3*(保険税試算!D24)/12,0)</f>
        <v>0</v>
      </c>
      <c r="T32" s="325"/>
      <c r="U32" s="73" t="s">
        <v>125</v>
      </c>
      <c r="V32" s="324">
        <f>$T$41*0.5*(保険税試算!D24)/12-1</f>
        <v>-1</v>
      </c>
      <c r="W32" s="325"/>
      <c r="X32" s="73" t="s">
        <v>125</v>
      </c>
      <c r="Y32" s="324">
        <f>ROUNDDOWN($T$41*0.8*(保険税試算!D24)/12,0)</f>
        <v>0</v>
      </c>
      <c r="Z32" s="325"/>
      <c r="AA32" s="73" t="s">
        <v>125</v>
      </c>
      <c r="AB32" s="324">
        <f>T41*(保険税試算!D24)/12</f>
        <v>0</v>
      </c>
      <c r="AC32" s="325"/>
      <c r="AD32" s="73" t="s">
        <v>125</v>
      </c>
      <c r="AE32" s="74">
        <f t="shared" si="4"/>
        <v>0</v>
      </c>
      <c r="AF32" s="74">
        <f t="shared" si="5"/>
        <v>0</v>
      </c>
      <c r="AG32" s="74">
        <f t="shared" si="6"/>
        <v>0</v>
      </c>
      <c r="AH32" s="74">
        <f t="shared" si="1"/>
        <v>0</v>
      </c>
      <c r="AI32" s="67">
        <f>IF(COUNTIF(保険税試算!$L$24,"○"),SUM(AE32:AH32)/2*-1,0)</f>
        <v>0</v>
      </c>
      <c r="AJ32" s="46">
        <f t="shared" si="2"/>
        <v>0</v>
      </c>
      <c r="AK32" s="27"/>
      <c r="AL32" s="27"/>
      <c r="AM32" s="27"/>
      <c r="AN32" s="27"/>
      <c r="AO32" s="27"/>
      <c r="AP32" s="27"/>
      <c r="AQ32" s="27"/>
      <c r="AR32" s="27"/>
      <c r="AS32" s="27"/>
    </row>
    <row r="33" spans="1:45" ht="18.75" x14ac:dyDescent="0.15">
      <c r="A33" s="16"/>
      <c r="B33" s="16"/>
      <c r="C33" s="1"/>
      <c r="D33" s="1"/>
      <c r="E33" s="1"/>
      <c r="F33" s="1"/>
      <c r="G33" s="1"/>
      <c r="H33" s="1"/>
      <c r="I33" s="1"/>
      <c r="J33" s="7"/>
      <c r="K33" s="7"/>
      <c r="L33" s="7"/>
      <c r="M33" s="7"/>
      <c r="N33" s="8"/>
      <c r="O33" s="26"/>
      <c r="P33" s="206">
        <f>SUM(P5:Q22)</f>
        <v>1250000</v>
      </c>
      <c r="Q33" s="206"/>
      <c r="R33" s="23"/>
      <c r="S33" s="23"/>
      <c r="T33" s="23"/>
      <c r="U33" s="18"/>
      <c r="V33" s="18"/>
      <c r="W33" s="18"/>
      <c r="X33" s="18"/>
      <c r="Y33" s="18"/>
      <c r="Z33" s="18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</row>
    <row r="34" spans="1:45" ht="18.75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6"/>
      <c r="P34" s="206"/>
      <c r="Q34" s="206"/>
      <c r="R34" s="23"/>
      <c r="S34" s="23"/>
      <c r="T34" s="23"/>
      <c r="U34" s="18"/>
      <c r="V34" s="18"/>
      <c r="W34" s="18"/>
      <c r="X34" s="18"/>
      <c r="Y34" s="18"/>
      <c r="Z34" s="18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</row>
    <row r="35" spans="1:45" ht="19.5" thickBo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8"/>
      <c r="P35" s="18"/>
      <c r="Q35" s="18"/>
      <c r="R35" s="23"/>
      <c r="S35" s="23"/>
      <c r="T35" s="23"/>
      <c r="U35" s="18"/>
      <c r="V35" s="18"/>
      <c r="W35" s="18"/>
      <c r="X35" s="18"/>
      <c r="Y35" s="18"/>
      <c r="Z35" s="18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</row>
    <row r="36" spans="1:45" ht="38.25" customHeight="1" thickBo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457" t="s">
        <v>48</v>
      </c>
      <c r="P36" s="458"/>
      <c r="Q36" s="458"/>
      <c r="R36" s="458"/>
      <c r="S36" s="458"/>
      <c r="T36" s="458"/>
      <c r="U36" s="459"/>
    </row>
    <row r="37" spans="1:45" ht="54" customHeight="1" thickBot="1" x14ac:dyDescent="0.2">
      <c r="A37" s="428" t="s">
        <v>15</v>
      </c>
      <c r="B37" s="429"/>
      <c r="C37" s="429"/>
      <c r="D37" s="429"/>
      <c r="E37" s="429"/>
      <c r="F37" s="429"/>
      <c r="G37" s="429"/>
      <c r="H37" s="429"/>
      <c r="I37" s="429"/>
      <c r="J37" s="429"/>
      <c r="K37" s="429"/>
      <c r="L37" s="433" t="s">
        <v>22</v>
      </c>
      <c r="M37" s="7"/>
      <c r="O37" s="323">
        <v>0.08</v>
      </c>
      <c r="P37" s="327">
        <v>3.3000000000000002E-2</v>
      </c>
      <c r="Q37" s="327"/>
      <c r="R37" s="327">
        <v>2.3E-2</v>
      </c>
      <c r="S37" s="327"/>
      <c r="T37" s="327">
        <v>2.7000000000000001E-3</v>
      </c>
      <c r="U37" s="328"/>
    </row>
    <row r="38" spans="1:45" ht="18.75" customHeight="1" thickBot="1" x14ac:dyDescent="0.2">
      <c r="A38" s="430"/>
      <c r="B38" s="431"/>
      <c r="C38" s="431"/>
      <c r="D38" s="431"/>
      <c r="E38" s="431"/>
      <c r="F38" s="432"/>
      <c r="G38" s="432"/>
      <c r="H38" s="432"/>
      <c r="I38" s="431"/>
      <c r="J38" s="431"/>
      <c r="K38" s="431"/>
      <c r="L38" s="434"/>
      <c r="M38" s="7"/>
      <c r="O38" s="323"/>
      <c r="P38" s="327"/>
      <c r="Q38" s="327"/>
      <c r="R38" s="327"/>
      <c r="S38" s="327"/>
      <c r="T38" s="327"/>
      <c r="U38" s="328"/>
    </row>
    <row r="39" spans="1:45" ht="18.75" customHeight="1" thickBot="1" x14ac:dyDescent="0.2">
      <c r="A39" s="435" t="s">
        <v>16</v>
      </c>
      <c r="B39" s="439">
        <v>430000</v>
      </c>
      <c r="C39" s="439"/>
      <c r="D39" s="14"/>
      <c r="E39" s="406" t="s">
        <v>20</v>
      </c>
      <c r="F39" s="36"/>
      <c r="G39" s="406" t="s">
        <v>116</v>
      </c>
      <c r="H39" s="421">
        <f>IF((保険税試算!$J$31-1)*100000&lt;0,0,(保険税試算!$J$31-1)*100000)</f>
        <v>0</v>
      </c>
      <c r="I39" s="408" t="s">
        <v>1</v>
      </c>
      <c r="J39" s="410">
        <f>B39+H39</f>
        <v>430000</v>
      </c>
      <c r="K39" s="411"/>
      <c r="L39" s="416" t="str">
        <f>IF(K51&lt;=J39,"○","×")</f>
        <v>×</v>
      </c>
      <c r="M39" s="7"/>
      <c r="O39" s="323"/>
      <c r="P39" s="327"/>
      <c r="Q39" s="327"/>
      <c r="R39" s="327"/>
      <c r="S39" s="327"/>
      <c r="T39" s="327"/>
      <c r="U39" s="328"/>
    </row>
    <row r="40" spans="1:45" ht="19.5" thickBot="1" x14ac:dyDescent="0.2">
      <c r="A40" s="435"/>
      <c r="B40" s="439"/>
      <c r="C40" s="439"/>
      <c r="D40" s="357">
        <f>保険税試算!C27</f>
        <v>2</v>
      </c>
      <c r="E40" s="406"/>
      <c r="F40" s="419">
        <v>100000</v>
      </c>
      <c r="G40" s="406"/>
      <c r="H40" s="422"/>
      <c r="I40" s="408"/>
      <c r="J40" s="412"/>
      <c r="K40" s="413"/>
      <c r="L40" s="416"/>
      <c r="M40" s="7"/>
      <c r="O40" s="469" t="s">
        <v>8</v>
      </c>
      <c r="P40" s="470"/>
      <c r="Q40" s="470"/>
      <c r="R40" s="470"/>
      <c r="S40" s="470"/>
      <c r="T40" s="470"/>
      <c r="U40" s="471"/>
    </row>
    <row r="41" spans="1:45" ht="18.75" customHeight="1" thickBot="1" x14ac:dyDescent="0.2">
      <c r="A41" s="435"/>
      <c r="B41" s="439"/>
      <c r="C41" s="439"/>
      <c r="D41" s="357"/>
      <c r="E41" s="406"/>
      <c r="F41" s="419"/>
      <c r="G41" s="406"/>
      <c r="H41" s="422"/>
      <c r="I41" s="408"/>
      <c r="J41" s="412"/>
      <c r="K41" s="413"/>
      <c r="L41" s="416"/>
      <c r="M41" s="7"/>
      <c r="O41" s="329">
        <v>23000</v>
      </c>
      <c r="P41" s="326">
        <v>12000</v>
      </c>
      <c r="Q41" s="326"/>
      <c r="R41" s="326">
        <v>16000</v>
      </c>
      <c r="S41" s="326"/>
      <c r="T41" s="326">
        <v>2026</v>
      </c>
      <c r="U41" s="447"/>
    </row>
    <row r="42" spans="1:45" ht="18.75" customHeight="1" thickBot="1" x14ac:dyDescent="0.2">
      <c r="A42" s="435"/>
      <c r="B42" s="439"/>
      <c r="C42" s="439"/>
      <c r="D42" s="357"/>
      <c r="E42" s="406"/>
      <c r="F42" s="419"/>
      <c r="G42" s="406"/>
      <c r="H42" s="424"/>
      <c r="I42" s="408"/>
      <c r="J42" s="425"/>
      <c r="K42" s="426"/>
      <c r="L42" s="416"/>
      <c r="M42" s="7"/>
      <c r="O42" s="329"/>
      <c r="P42" s="326"/>
      <c r="Q42" s="326"/>
      <c r="R42" s="326"/>
      <c r="S42" s="326"/>
      <c r="T42" s="326"/>
      <c r="U42" s="447"/>
    </row>
    <row r="43" spans="1:45" ht="18.75" customHeight="1" thickBot="1" x14ac:dyDescent="0.2">
      <c r="A43" s="427" t="s">
        <v>17</v>
      </c>
      <c r="B43" s="439">
        <v>430000</v>
      </c>
      <c r="C43" s="439" t="s">
        <v>0</v>
      </c>
      <c r="D43" s="14" t="s">
        <v>19</v>
      </c>
      <c r="E43" s="406" t="s">
        <v>20</v>
      </c>
      <c r="F43" s="36" t="s">
        <v>23</v>
      </c>
      <c r="G43" s="406" t="s">
        <v>116</v>
      </c>
      <c r="H43" s="421">
        <f>IF((保険税試算!$J$31-1)*100000&lt;0,0,(保険税試算!$J$31-1)*100000)</f>
        <v>0</v>
      </c>
      <c r="I43" s="408" t="s">
        <v>1</v>
      </c>
      <c r="J43" s="410">
        <f>B43+D44*F44+H43</f>
        <v>1050000</v>
      </c>
      <c r="K43" s="411"/>
      <c r="L43" s="436" t="str">
        <f>IF(AND(K51&gt;430000+H43,K51&lt;=J43),"○","×")</f>
        <v>×</v>
      </c>
      <c r="M43" s="7"/>
      <c r="O43" s="329"/>
      <c r="P43" s="326"/>
      <c r="Q43" s="326"/>
      <c r="R43" s="326"/>
      <c r="S43" s="326"/>
      <c r="T43" s="326"/>
      <c r="U43" s="447"/>
    </row>
    <row r="44" spans="1:45" ht="18.75" customHeight="1" thickBot="1" x14ac:dyDescent="0.2">
      <c r="A44" s="427"/>
      <c r="B44" s="439"/>
      <c r="C44" s="439"/>
      <c r="D44" s="357">
        <f>保険税試算!C27</f>
        <v>2</v>
      </c>
      <c r="E44" s="406"/>
      <c r="F44" s="419">
        <f>R50</f>
        <v>310000</v>
      </c>
      <c r="G44" s="406"/>
      <c r="H44" s="422"/>
      <c r="I44" s="408"/>
      <c r="J44" s="412"/>
      <c r="K44" s="413"/>
      <c r="L44" s="437"/>
      <c r="M44" s="7"/>
      <c r="O44" s="472" t="s">
        <v>35</v>
      </c>
      <c r="P44" s="473"/>
      <c r="Q44" s="473"/>
      <c r="R44" s="473"/>
      <c r="S44" s="473"/>
      <c r="T44" s="473"/>
      <c r="U44" s="474"/>
    </row>
    <row r="45" spans="1:45" ht="18.75" customHeight="1" x14ac:dyDescent="0.15">
      <c r="A45" s="427"/>
      <c r="B45" s="439"/>
      <c r="C45" s="439"/>
      <c r="D45" s="357"/>
      <c r="E45" s="406"/>
      <c r="F45" s="419"/>
      <c r="G45" s="406"/>
      <c r="H45" s="422"/>
      <c r="I45" s="408"/>
      <c r="J45" s="412"/>
      <c r="K45" s="413"/>
      <c r="L45" s="437"/>
      <c r="M45" s="7"/>
      <c r="O45" s="330">
        <v>36000</v>
      </c>
      <c r="P45" s="454"/>
      <c r="Q45" s="454"/>
      <c r="R45" s="448"/>
      <c r="S45" s="448"/>
      <c r="T45" s="448"/>
      <c r="U45" s="451"/>
    </row>
    <row r="46" spans="1:45" ht="18.75" customHeight="1" x14ac:dyDescent="0.15">
      <c r="A46" s="427"/>
      <c r="B46" s="439"/>
      <c r="C46" s="439"/>
      <c r="D46" s="357"/>
      <c r="E46" s="406"/>
      <c r="F46" s="419"/>
      <c r="G46" s="406"/>
      <c r="H46" s="424"/>
      <c r="I46" s="408"/>
      <c r="J46" s="425"/>
      <c r="K46" s="426"/>
      <c r="L46" s="438"/>
      <c r="M46" s="7"/>
      <c r="O46" s="331"/>
      <c r="P46" s="455"/>
      <c r="Q46" s="455"/>
      <c r="R46" s="449"/>
      <c r="S46" s="449"/>
      <c r="T46" s="449"/>
      <c r="U46" s="452"/>
    </row>
    <row r="47" spans="1:45" ht="18.75" customHeight="1" thickBot="1" x14ac:dyDescent="0.2">
      <c r="A47" s="476" t="s">
        <v>18</v>
      </c>
      <c r="B47" s="439">
        <v>430000</v>
      </c>
      <c r="C47" s="439" t="s">
        <v>0</v>
      </c>
      <c r="D47" s="14" t="s">
        <v>19</v>
      </c>
      <c r="E47" s="406" t="s">
        <v>20</v>
      </c>
      <c r="F47" s="36" t="s">
        <v>23</v>
      </c>
      <c r="G47" s="406" t="s">
        <v>116</v>
      </c>
      <c r="H47" s="421">
        <f>IF((保険税試算!$J$31-1)*100000&lt;0,0,(保険税試算!$J$31-1)*100000)</f>
        <v>0</v>
      </c>
      <c r="I47" s="408" t="s">
        <v>1</v>
      </c>
      <c r="J47" s="410">
        <f>B47+D48*F48+H47</f>
        <v>1570000</v>
      </c>
      <c r="K47" s="411"/>
      <c r="L47" s="416" t="str">
        <f>IF(AND(K51&gt;J43,K51&lt;=J47),"○","×")</f>
        <v>○</v>
      </c>
      <c r="M47" s="7"/>
      <c r="O47" s="332"/>
      <c r="P47" s="456"/>
      <c r="Q47" s="456"/>
      <c r="R47" s="450"/>
      <c r="S47" s="450"/>
      <c r="T47" s="450"/>
      <c r="U47" s="453"/>
    </row>
    <row r="48" spans="1:45" ht="19.5" thickBot="1" x14ac:dyDescent="0.2">
      <c r="A48" s="476"/>
      <c r="B48" s="439"/>
      <c r="C48" s="439"/>
      <c r="D48" s="357">
        <f>保険税試算!C27</f>
        <v>2</v>
      </c>
      <c r="E48" s="406"/>
      <c r="F48" s="419">
        <f>T50</f>
        <v>570000</v>
      </c>
      <c r="G48" s="406"/>
      <c r="H48" s="422"/>
      <c r="I48" s="408"/>
      <c r="J48" s="412"/>
      <c r="K48" s="413"/>
      <c r="L48" s="416"/>
      <c r="M48" s="7"/>
      <c r="O48" s="475" t="s">
        <v>51</v>
      </c>
      <c r="P48" s="319"/>
      <c r="Q48" s="319"/>
      <c r="R48" s="319"/>
      <c r="S48" s="319"/>
      <c r="T48" s="319"/>
      <c r="U48" s="322"/>
    </row>
    <row r="49" spans="1:21" ht="21" customHeight="1" thickBot="1" x14ac:dyDescent="0.2">
      <c r="A49" s="476"/>
      <c r="B49" s="439"/>
      <c r="C49" s="439"/>
      <c r="D49" s="357"/>
      <c r="E49" s="406"/>
      <c r="F49" s="419"/>
      <c r="G49" s="406"/>
      <c r="H49" s="422"/>
      <c r="I49" s="408"/>
      <c r="J49" s="412"/>
      <c r="K49" s="413"/>
      <c r="L49" s="416"/>
      <c r="M49" s="17"/>
      <c r="O49" s="446"/>
      <c r="P49" s="319" t="s">
        <v>52</v>
      </c>
      <c r="Q49" s="319"/>
      <c r="R49" s="320" t="s">
        <v>53</v>
      </c>
      <c r="S49" s="320"/>
      <c r="T49" s="321" t="s">
        <v>54</v>
      </c>
      <c r="U49" s="322"/>
    </row>
    <row r="50" spans="1:21" ht="21.75" customHeight="1" thickBot="1" x14ac:dyDescent="0.2">
      <c r="A50" s="477"/>
      <c r="B50" s="478"/>
      <c r="C50" s="478"/>
      <c r="D50" s="418"/>
      <c r="E50" s="407"/>
      <c r="F50" s="420"/>
      <c r="G50" s="407"/>
      <c r="H50" s="423"/>
      <c r="I50" s="409"/>
      <c r="J50" s="414"/>
      <c r="K50" s="415"/>
      <c r="L50" s="417"/>
      <c r="M50" s="17"/>
      <c r="O50" s="446"/>
      <c r="P50" s="484">
        <v>100000</v>
      </c>
      <c r="Q50" s="317"/>
      <c r="R50" s="317">
        <v>310000</v>
      </c>
      <c r="S50" s="317"/>
      <c r="T50" s="317">
        <v>570000</v>
      </c>
      <c r="U50" s="318"/>
    </row>
    <row r="51" spans="1:21" ht="21" customHeight="1" thickBot="1" x14ac:dyDescent="0.2">
      <c r="A51" s="1"/>
      <c r="B51" s="440"/>
      <c r="C51" s="440"/>
      <c r="D51" s="440"/>
      <c r="E51" s="440"/>
      <c r="F51" s="440"/>
      <c r="G51" s="70"/>
      <c r="H51" s="62"/>
      <c r="I51" s="442" t="s">
        <v>24</v>
      </c>
      <c r="J51" s="442"/>
      <c r="K51" s="444">
        <f>SUM(A5:B31)</f>
        <v>1250000</v>
      </c>
      <c r="L51" s="444"/>
      <c r="M51" s="7"/>
      <c r="N51" s="17"/>
      <c r="O51" s="446"/>
      <c r="P51" s="484"/>
      <c r="Q51" s="317"/>
      <c r="R51" s="317"/>
      <c r="S51" s="317"/>
      <c r="T51" s="317"/>
      <c r="U51" s="318"/>
    </row>
    <row r="52" spans="1:21" ht="21.75" thickBot="1" x14ac:dyDescent="0.2">
      <c r="A52" s="1"/>
      <c r="B52" s="441"/>
      <c r="C52" s="441"/>
      <c r="D52" s="441"/>
      <c r="E52" s="441"/>
      <c r="F52" s="440"/>
      <c r="G52" s="9"/>
      <c r="H52" s="62"/>
      <c r="I52" s="443"/>
      <c r="J52" s="443"/>
      <c r="K52" s="445"/>
      <c r="L52" s="445"/>
      <c r="M52" s="17"/>
      <c r="N52" s="7"/>
      <c r="O52" s="446"/>
      <c r="P52" s="484"/>
      <c r="Q52" s="317"/>
      <c r="R52" s="317"/>
      <c r="S52" s="317"/>
      <c r="T52" s="317"/>
      <c r="U52" s="318"/>
    </row>
    <row r="53" spans="1:21" ht="21.75" thickBot="1" x14ac:dyDescent="0.2">
      <c r="A53" s="1"/>
      <c r="B53" s="1"/>
      <c r="C53" s="1"/>
      <c r="D53" s="1"/>
      <c r="E53" s="1"/>
      <c r="F53" s="1"/>
      <c r="G53" s="1"/>
      <c r="H53" s="1"/>
      <c r="I53" s="7"/>
      <c r="J53" s="7"/>
      <c r="K53" s="7"/>
      <c r="L53" s="7"/>
      <c r="M53" s="17"/>
      <c r="N53" s="7"/>
      <c r="O53" s="479" t="s">
        <v>47</v>
      </c>
      <c r="P53" s="480"/>
      <c r="Q53" s="480"/>
      <c r="R53" s="480"/>
      <c r="S53" s="480"/>
      <c r="T53" s="480"/>
      <c r="U53" s="481"/>
    </row>
    <row r="54" spans="1:21" ht="13.5" customHeight="1" thickBot="1" x14ac:dyDescent="0.2">
      <c r="O54" s="482">
        <v>670000</v>
      </c>
      <c r="P54" s="388">
        <v>260000</v>
      </c>
      <c r="Q54" s="388"/>
      <c r="R54" s="388">
        <v>170000</v>
      </c>
      <c r="S54" s="388"/>
      <c r="T54" s="388">
        <v>30000</v>
      </c>
      <c r="U54" s="389"/>
    </row>
    <row r="55" spans="1:21" ht="13.5" customHeight="1" thickBot="1" x14ac:dyDescent="0.2">
      <c r="O55" s="482"/>
      <c r="P55" s="388"/>
      <c r="Q55" s="388"/>
      <c r="R55" s="388"/>
      <c r="S55" s="388"/>
      <c r="T55" s="388"/>
      <c r="U55" s="389"/>
    </row>
    <row r="56" spans="1:21" ht="14.25" customHeight="1" thickBot="1" x14ac:dyDescent="0.2">
      <c r="O56" s="482"/>
      <c r="P56" s="388"/>
      <c r="Q56" s="388"/>
      <c r="R56" s="388"/>
      <c r="S56" s="388"/>
      <c r="T56" s="388"/>
      <c r="U56" s="389"/>
    </row>
    <row r="59" spans="1:21" ht="21" x14ac:dyDescent="0.15">
      <c r="O59" s="398" t="s">
        <v>49</v>
      </c>
      <c r="P59" s="398"/>
      <c r="Q59" s="398"/>
      <c r="R59" s="398"/>
      <c r="S59" s="398"/>
      <c r="T59" s="398"/>
      <c r="U59" s="398"/>
    </row>
    <row r="60" spans="1:21" ht="13.5" customHeight="1" x14ac:dyDescent="0.15">
      <c r="O60" s="483">
        <f>ROUNDDOWN(保険税試算!C48,-2)</f>
        <v>143200</v>
      </c>
      <c r="P60" s="390">
        <f>ROUNDDOWN(保険税試算!F48,-2)</f>
        <v>51200</v>
      </c>
      <c r="Q60" s="390"/>
      <c r="R60" s="391">
        <f>ROUNDDOWN(保険税試算!I48,-2)</f>
        <v>12800</v>
      </c>
      <c r="S60" s="391"/>
      <c r="T60" s="392">
        <f>ROUNDDOWN(保険税試算!L48,-2)</f>
        <v>5800</v>
      </c>
      <c r="U60" s="393"/>
    </row>
    <row r="61" spans="1:21" ht="13.5" customHeight="1" x14ac:dyDescent="0.15">
      <c r="O61" s="483"/>
      <c r="P61" s="390"/>
      <c r="Q61" s="390"/>
      <c r="R61" s="391"/>
      <c r="S61" s="391"/>
      <c r="T61" s="394"/>
      <c r="U61" s="395"/>
    </row>
    <row r="62" spans="1:21" ht="13.5" customHeight="1" x14ac:dyDescent="0.15">
      <c r="O62" s="483"/>
      <c r="P62" s="390"/>
      <c r="Q62" s="390"/>
      <c r="R62" s="391"/>
      <c r="S62" s="391"/>
      <c r="T62" s="396"/>
      <c r="U62" s="397"/>
    </row>
    <row r="63" spans="1:21" x14ac:dyDescent="0.15">
      <c r="O63" s="75"/>
      <c r="P63" s="259"/>
      <c r="Q63" s="261"/>
      <c r="R63" s="259"/>
      <c r="S63" s="261"/>
      <c r="T63" s="259"/>
      <c r="U63" s="261"/>
    </row>
    <row r="64" spans="1:21" x14ac:dyDescent="0.15">
      <c r="O64" s="258" t="s">
        <v>50</v>
      </c>
      <c r="P64" s="258"/>
      <c r="Q64" s="258"/>
      <c r="R64" s="258"/>
      <c r="S64" s="258"/>
      <c r="T64" s="258"/>
      <c r="U64" s="258"/>
    </row>
    <row r="65" spans="1:21" x14ac:dyDescent="0.15">
      <c r="O65" s="258"/>
      <c r="P65" s="258"/>
      <c r="Q65" s="258"/>
      <c r="R65" s="258"/>
      <c r="S65" s="258"/>
      <c r="T65" s="258"/>
      <c r="U65" s="258"/>
    </row>
    <row r="66" spans="1:21" ht="13.5" customHeight="1" x14ac:dyDescent="0.15">
      <c r="O66" s="387">
        <f>IF(O60&gt;O54,O54,O60)</f>
        <v>143200</v>
      </c>
      <c r="P66" s="381">
        <f>IF(P60&gt;P54,P54,P60)</f>
        <v>51200</v>
      </c>
      <c r="Q66" s="382"/>
      <c r="R66" s="381">
        <f>IF(R60&gt;R54,R54,R60)</f>
        <v>12800</v>
      </c>
      <c r="S66" s="382"/>
      <c r="T66" s="387">
        <f>IF(T60&gt;T54,T54,T60)</f>
        <v>5800</v>
      </c>
      <c r="U66" s="387"/>
    </row>
    <row r="67" spans="1:21" ht="13.5" customHeight="1" x14ac:dyDescent="0.15">
      <c r="O67" s="387"/>
      <c r="P67" s="383"/>
      <c r="Q67" s="384"/>
      <c r="R67" s="383"/>
      <c r="S67" s="384"/>
      <c r="T67" s="387"/>
      <c r="U67" s="387"/>
    </row>
    <row r="68" spans="1:21" ht="13.5" customHeight="1" x14ac:dyDescent="0.15">
      <c r="O68" s="387"/>
      <c r="P68" s="385"/>
      <c r="Q68" s="386"/>
      <c r="R68" s="385"/>
      <c r="S68" s="386"/>
      <c r="T68" s="387"/>
      <c r="U68" s="387"/>
    </row>
    <row r="80" spans="1:21" ht="68.25" customHeight="1" thickBot="1" x14ac:dyDescent="0.2">
      <c r="A80" s="68" t="s">
        <v>124</v>
      </c>
      <c r="B80" s="68"/>
      <c r="C80" s="68"/>
      <c r="D80" s="68"/>
      <c r="E80" s="68"/>
      <c r="F80" s="68"/>
      <c r="G80" s="68"/>
    </row>
    <row r="81" spans="1:6" ht="15.75" customHeight="1" thickTop="1" x14ac:dyDescent="0.15">
      <c r="A81" s="460" t="s">
        <v>123</v>
      </c>
      <c r="B81" s="461"/>
      <c r="C81" s="461"/>
      <c r="D81" s="461"/>
      <c r="E81" s="461"/>
      <c r="F81" s="462"/>
    </row>
    <row r="82" spans="1:6" ht="13.5" customHeight="1" x14ac:dyDescent="0.15">
      <c r="A82" s="463">
        <v>0.08</v>
      </c>
      <c r="B82" s="94"/>
      <c r="C82" s="94">
        <v>3.3000000000000002E-2</v>
      </c>
      <c r="D82" s="94"/>
      <c r="E82" s="94">
        <v>2.3E-2</v>
      </c>
      <c r="F82" s="464"/>
    </row>
    <row r="83" spans="1:6" ht="13.5" customHeight="1" x14ac:dyDescent="0.15">
      <c r="A83" s="463"/>
      <c r="B83" s="94"/>
      <c r="C83" s="94"/>
      <c r="D83" s="94"/>
      <c r="E83" s="94"/>
      <c r="F83" s="464"/>
    </row>
    <row r="84" spans="1:6" ht="13.5" customHeight="1" x14ac:dyDescent="0.15">
      <c r="A84" s="463"/>
      <c r="B84" s="94"/>
      <c r="C84" s="94"/>
      <c r="D84" s="94"/>
      <c r="E84" s="94"/>
      <c r="F84" s="464"/>
    </row>
    <row r="85" spans="1:6" ht="17.25" customHeight="1" x14ac:dyDescent="0.15">
      <c r="A85" s="465" t="s">
        <v>8</v>
      </c>
      <c r="B85" s="91"/>
      <c r="C85" s="91"/>
      <c r="D85" s="91"/>
      <c r="E85" s="91"/>
      <c r="F85" s="466"/>
    </row>
    <row r="86" spans="1:6" ht="13.5" customHeight="1" x14ac:dyDescent="0.15">
      <c r="A86" s="467">
        <v>23000</v>
      </c>
      <c r="B86" s="95"/>
      <c r="C86" s="95">
        <v>12000</v>
      </c>
      <c r="D86" s="95"/>
      <c r="E86" s="95">
        <v>16000</v>
      </c>
      <c r="F86" s="468"/>
    </row>
    <row r="87" spans="1:6" ht="13.5" customHeight="1" x14ac:dyDescent="0.15">
      <c r="A87" s="467"/>
      <c r="B87" s="95"/>
      <c r="C87" s="95"/>
      <c r="D87" s="95"/>
      <c r="E87" s="95"/>
      <c r="F87" s="468"/>
    </row>
    <row r="88" spans="1:6" ht="13.5" customHeight="1" x14ac:dyDescent="0.15">
      <c r="A88" s="467"/>
      <c r="B88" s="95"/>
      <c r="C88" s="95"/>
      <c r="D88" s="95"/>
      <c r="E88" s="95"/>
      <c r="F88" s="468"/>
    </row>
    <row r="89" spans="1:6" ht="15" customHeight="1" x14ac:dyDescent="0.15">
      <c r="A89" s="485" t="s">
        <v>35</v>
      </c>
      <c r="B89" s="92"/>
      <c r="C89" s="92"/>
      <c r="D89" s="92"/>
      <c r="E89" s="92"/>
      <c r="F89" s="486"/>
    </row>
    <row r="90" spans="1:6" ht="13.5" customHeight="1" x14ac:dyDescent="0.15">
      <c r="A90" s="495">
        <v>36000</v>
      </c>
      <c r="B90" s="114"/>
      <c r="C90" s="114">
        <v>0</v>
      </c>
      <c r="D90" s="114"/>
      <c r="E90" s="114">
        <v>0</v>
      </c>
      <c r="F90" s="496"/>
    </row>
    <row r="91" spans="1:6" ht="13.5" customHeight="1" x14ac:dyDescent="0.15">
      <c r="A91" s="495"/>
      <c r="B91" s="114"/>
      <c r="C91" s="114"/>
      <c r="D91" s="114"/>
      <c r="E91" s="114"/>
      <c r="F91" s="496"/>
    </row>
    <row r="92" spans="1:6" ht="13.5" customHeight="1" x14ac:dyDescent="0.15">
      <c r="A92" s="495"/>
      <c r="B92" s="114"/>
      <c r="C92" s="114"/>
      <c r="D92" s="114"/>
      <c r="E92" s="114"/>
      <c r="F92" s="496"/>
    </row>
    <row r="93" spans="1:6" ht="17.25" x14ac:dyDescent="0.15">
      <c r="A93" s="497" t="s">
        <v>51</v>
      </c>
      <c r="B93" s="498"/>
      <c r="C93" s="498"/>
      <c r="D93" s="498"/>
      <c r="E93" s="498"/>
      <c r="F93" s="499"/>
    </row>
    <row r="94" spans="1:6" ht="17.25" customHeight="1" x14ac:dyDescent="0.15">
      <c r="A94" s="500" t="s">
        <v>30</v>
      </c>
      <c r="B94" s="501"/>
      <c r="C94" s="498" t="s">
        <v>31</v>
      </c>
      <c r="D94" s="498"/>
      <c r="E94" s="502" t="s">
        <v>32</v>
      </c>
      <c r="F94" s="503"/>
    </row>
    <row r="95" spans="1:6" ht="13.5" customHeight="1" x14ac:dyDescent="0.15">
      <c r="A95" s="504">
        <v>100000</v>
      </c>
      <c r="B95" s="505"/>
      <c r="C95" s="505">
        <v>305000</v>
      </c>
      <c r="D95" s="505"/>
      <c r="E95" s="505">
        <v>560000</v>
      </c>
      <c r="F95" s="506"/>
    </row>
    <row r="96" spans="1:6" ht="13.5" customHeight="1" x14ac:dyDescent="0.15">
      <c r="A96" s="504"/>
      <c r="B96" s="505"/>
      <c r="C96" s="505"/>
      <c r="D96" s="505"/>
      <c r="E96" s="505"/>
      <c r="F96" s="506"/>
    </row>
    <row r="97" spans="1:6" ht="13.5" customHeight="1" x14ac:dyDescent="0.15">
      <c r="A97" s="504"/>
      <c r="B97" s="505"/>
      <c r="C97" s="505"/>
      <c r="D97" s="505"/>
      <c r="E97" s="505"/>
      <c r="F97" s="506"/>
    </row>
    <row r="98" spans="1:6" ht="13.5" customHeight="1" x14ac:dyDescent="0.15">
      <c r="A98" s="487" t="s">
        <v>47</v>
      </c>
      <c r="B98" s="93"/>
      <c r="C98" s="93"/>
      <c r="D98" s="93"/>
      <c r="E98" s="93"/>
      <c r="F98" s="488"/>
    </row>
    <row r="99" spans="1:6" ht="13.5" customHeight="1" x14ac:dyDescent="0.15">
      <c r="A99" s="489">
        <v>660000</v>
      </c>
      <c r="B99" s="490"/>
      <c r="C99" s="490">
        <v>260000</v>
      </c>
      <c r="D99" s="490"/>
      <c r="E99" s="490">
        <v>170000</v>
      </c>
      <c r="F99" s="493"/>
    </row>
    <row r="100" spans="1:6" ht="14.25" customHeight="1" x14ac:dyDescent="0.15">
      <c r="A100" s="489"/>
      <c r="B100" s="490"/>
      <c r="C100" s="490"/>
      <c r="D100" s="490"/>
      <c r="E100" s="490"/>
      <c r="F100" s="493"/>
    </row>
    <row r="101" spans="1:6" ht="14.25" customHeight="1" thickBot="1" x14ac:dyDescent="0.2">
      <c r="A101" s="491"/>
      <c r="B101" s="492"/>
      <c r="C101" s="492"/>
      <c r="D101" s="492"/>
      <c r="E101" s="492"/>
      <c r="F101" s="494"/>
    </row>
    <row r="102" spans="1:6" ht="14.25" thickTop="1" x14ac:dyDescent="0.15"/>
    <row r="110" spans="1:6" x14ac:dyDescent="0.15">
      <c r="A110">
        <v>1</v>
      </c>
    </row>
    <row r="111" spans="1:6" x14ac:dyDescent="0.15">
      <c r="A111">
        <v>2</v>
      </c>
    </row>
    <row r="112" spans="1:6" x14ac:dyDescent="0.15">
      <c r="A112">
        <v>3</v>
      </c>
    </row>
    <row r="113" spans="1:1" x14ac:dyDescent="0.15">
      <c r="A113">
        <v>4</v>
      </c>
    </row>
    <row r="114" spans="1:1" x14ac:dyDescent="0.15">
      <c r="A114">
        <v>5</v>
      </c>
    </row>
    <row r="115" spans="1:1" x14ac:dyDescent="0.15">
      <c r="A115">
        <v>6</v>
      </c>
    </row>
    <row r="116" spans="1:1" x14ac:dyDescent="0.15">
      <c r="A116">
        <v>7</v>
      </c>
    </row>
  </sheetData>
  <mergeCells count="331">
    <mergeCell ref="A89:F89"/>
    <mergeCell ref="A98:F98"/>
    <mergeCell ref="A99:B101"/>
    <mergeCell ref="C99:D101"/>
    <mergeCell ref="E99:F101"/>
    <mergeCell ref="A90:B92"/>
    <mergeCell ref="C90:D92"/>
    <mergeCell ref="E90:F92"/>
    <mergeCell ref="A93:F93"/>
    <mergeCell ref="A94:B94"/>
    <mergeCell ref="C94:D94"/>
    <mergeCell ref="E94:F94"/>
    <mergeCell ref="A95:B97"/>
    <mergeCell ref="C95:D97"/>
    <mergeCell ref="E95:F97"/>
    <mergeCell ref="A81:F81"/>
    <mergeCell ref="A82:B84"/>
    <mergeCell ref="C82:D84"/>
    <mergeCell ref="E82:F84"/>
    <mergeCell ref="A85:F85"/>
    <mergeCell ref="A86:B88"/>
    <mergeCell ref="C86:D88"/>
    <mergeCell ref="E86:F88"/>
    <mergeCell ref="S29:T29"/>
    <mergeCell ref="S32:T32"/>
    <mergeCell ref="O40:U40"/>
    <mergeCell ref="O44:U44"/>
    <mergeCell ref="O48:U48"/>
    <mergeCell ref="A47:A50"/>
    <mergeCell ref="B47:B50"/>
    <mergeCell ref="C47:C50"/>
    <mergeCell ref="B39:B42"/>
    <mergeCell ref="C39:C42"/>
    <mergeCell ref="E39:E42"/>
    <mergeCell ref="O53:U53"/>
    <mergeCell ref="O54:O56"/>
    <mergeCell ref="O60:O62"/>
    <mergeCell ref="P50:Q52"/>
    <mergeCell ref="R50:S52"/>
    <mergeCell ref="AB25:AC25"/>
    <mergeCell ref="S26:T26"/>
    <mergeCell ref="V26:W26"/>
    <mergeCell ref="Y26:Z26"/>
    <mergeCell ref="AB26:AC26"/>
    <mergeCell ref="S27:T27"/>
    <mergeCell ref="V27:W27"/>
    <mergeCell ref="Y27:Z27"/>
    <mergeCell ref="AB27:AC27"/>
    <mergeCell ref="AB28:AC28"/>
    <mergeCell ref="Y29:Z29"/>
    <mergeCell ref="AB29:AC29"/>
    <mergeCell ref="AB31:AC31"/>
    <mergeCell ref="AB30:AC30"/>
    <mergeCell ref="V32:W32"/>
    <mergeCell ref="Y32:Z32"/>
    <mergeCell ref="AB32:AC32"/>
    <mergeCell ref="B51:F52"/>
    <mergeCell ref="I51:J52"/>
    <mergeCell ref="K51:L52"/>
    <mergeCell ref="F31:I31"/>
    <mergeCell ref="S30:T30"/>
    <mergeCell ref="O49:O52"/>
    <mergeCell ref="T41:U43"/>
    <mergeCell ref="P41:Q43"/>
    <mergeCell ref="P37:Q39"/>
    <mergeCell ref="R45:S47"/>
    <mergeCell ref="T45:U47"/>
    <mergeCell ref="P45:Q47"/>
    <mergeCell ref="O36:U36"/>
    <mergeCell ref="P33:Q34"/>
    <mergeCell ref="Y30:Z30"/>
    <mergeCell ref="Y31:Z31"/>
    <mergeCell ref="F24:I24"/>
    <mergeCell ref="K24:L24"/>
    <mergeCell ref="I39:I42"/>
    <mergeCell ref="J39:K42"/>
    <mergeCell ref="F17:I17"/>
    <mergeCell ref="K17:L17"/>
    <mergeCell ref="A43:A46"/>
    <mergeCell ref="A37:K38"/>
    <mergeCell ref="L37:L38"/>
    <mergeCell ref="A39:A42"/>
    <mergeCell ref="F21:I21"/>
    <mergeCell ref="F25:I25"/>
    <mergeCell ref="K25:L25"/>
    <mergeCell ref="F26:I26"/>
    <mergeCell ref="K26:L26"/>
    <mergeCell ref="G39:G42"/>
    <mergeCell ref="I43:I46"/>
    <mergeCell ref="J43:K46"/>
    <mergeCell ref="L43:L46"/>
    <mergeCell ref="D44:D46"/>
    <mergeCell ref="F44:F46"/>
    <mergeCell ref="F40:F42"/>
    <mergeCell ref="B43:B46"/>
    <mergeCell ref="C43:C46"/>
    <mergeCell ref="K27:L27"/>
    <mergeCell ref="F29:I29"/>
    <mergeCell ref="E47:E50"/>
    <mergeCell ref="I47:I50"/>
    <mergeCell ref="J47:K50"/>
    <mergeCell ref="L47:L50"/>
    <mergeCell ref="D48:D50"/>
    <mergeCell ref="F48:F50"/>
    <mergeCell ref="G47:G50"/>
    <mergeCell ref="H47:H50"/>
    <mergeCell ref="H39:H42"/>
    <mergeCell ref="H43:H46"/>
    <mergeCell ref="K31:L31"/>
    <mergeCell ref="K29:L29"/>
    <mergeCell ref="F30:I30"/>
    <mergeCell ref="K30:L30"/>
    <mergeCell ref="E43:E46"/>
    <mergeCell ref="L39:L42"/>
    <mergeCell ref="D40:D42"/>
    <mergeCell ref="G43:G46"/>
    <mergeCell ref="V18:W18"/>
    <mergeCell ref="F19:I19"/>
    <mergeCell ref="F23:I23"/>
    <mergeCell ref="S23:T23"/>
    <mergeCell ref="V23:W23"/>
    <mergeCell ref="F20:I20"/>
    <mergeCell ref="K20:L20"/>
    <mergeCell ref="K19:L19"/>
    <mergeCell ref="K23:L23"/>
    <mergeCell ref="K21:L21"/>
    <mergeCell ref="K22:L22"/>
    <mergeCell ref="AB19:AC19"/>
    <mergeCell ref="V21:W21"/>
    <mergeCell ref="Y21:Z21"/>
    <mergeCell ref="AB21:AC21"/>
    <mergeCell ref="S22:T22"/>
    <mergeCell ref="V22:W22"/>
    <mergeCell ref="Y22:Z22"/>
    <mergeCell ref="AB22:AC22"/>
    <mergeCell ref="Y23:Z23"/>
    <mergeCell ref="S20:T20"/>
    <mergeCell ref="AB23:AC23"/>
    <mergeCell ref="V19:W19"/>
    <mergeCell ref="V20:W20"/>
    <mergeCell ref="S21:T21"/>
    <mergeCell ref="Y20:Z20"/>
    <mergeCell ref="AK17:AL19"/>
    <mergeCell ref="AB20:AC20"/>
    <mergeCell ref="A5:B8"/>
    <mergeCell ref="C5:D8"/>
    <mergeCell ref="AK13:AL15"/>
    <mergeCell ref="O5:O8"/>
    <mergeCell ref="P5:Q8"/>
    <mergeCell ref="F14:I14"/>
    <mergeCell ref="S7:T7"/>
    <mergeCell ref="V7:W7"/>
    <mergeCell ref="Y7:Z7"/>
    <mergeCell ref="AB7:AC7"/>
    <mergeCell ref="K6:L6"/>
    <mergeCell ref="S6:T6"/>
    <mergeCell ref="V6:W6"/>
    <mergeCell ref="Y6:Z6"/>
    <mergeCell ref="AB5:AC5"/>
    <mergeCell ref="AB6:AC6"/>
    <mergeCell ref="F9:I9"/>
    <mergeCell ref="F18:I18"/>
    <mergeCell ref="K18:L18"/>
    <mergeCell ref="F8:I8"/>
    <mergeCell ref="K8:L8"/>
    <mergeCell ref="S8:T8"/>
    <mergeCell ref="AM13:AN15"/>
    <mergeCell ref="AK9:AL11"/>
    <mergeCell ref="AM9:AN11"/>
    <mergeCell ref="K15:L15"/>
    <mergeCell ref="S15:T15"/>
    <mergeCell ref="S17:T17"/>
    <mergeCell ref="V17:W17"/>
    <mergeCell ref="Y17:Z17"/>
    <mergeCell ref="AB17:AC17"/>
    <mergeCell ref="V14:W14"/>
    <mergeCell ref="S14:T14"/>
    <mergeCell ref="K14:L14"/>
    <mergeCell ref="AM17:AN19"/>
    <mergeCell ref="Y9:Z9"/>
    <mergeCell ref="AB9:AC9"/>
    <mergeCell ref="K9:L9"/>
    <mergeCell ref="AB11:AC11"/>
    <mergeCell ref="K11:L11"/>
    <mergeCell ref="S11:T11"/>
    <mergeCell ref="V11:W11"/>
    <mergeCell ref="S19:T19"/>
    <mergeCell ref="Y19:Z19"/>
    <mergeCell ref="S18:T18"/>
    <mergeCell ref="Y18:Z18"/>
    <mergeCell ref="AP5:AP7"/>
    <mergeCell ref="AQ5:AQ7"/>
    <mergeCell ref="AR5:AR7"/>
    <mergeCell ref="S5:T5"/>
    <mergeCell ref="V5:W5"/>
    <mergeCell ref="Y5:Z5"/>
    <mergeCell ref="AK5:AL7"/>
    <mergeCell ref="F7:I7"/>
    <mergeCell ref="K7:L7"/>
    <mergeCell ref="AS5:AS7"/>
    <mergeCell ref="F6:I6"/>
    <mergeCell ref="R1:T2"/>
    <mergeCell ref="U1:W2"/>
    <mergeCell ref="X1:Z2"/>
    <mergeCell ref="AA1:AC2"/>
    <mergeCell ref="S9:T9"/>
    <mergeCell ref="V9:W9"/>
    <mergeCell ref="V8:W8"/>
    <mergeCell ref="Y8:Z8"/>
    <mergeCell ref="AB8:AC8"/>
    <mergeCell ref="AD3:AJ3"/>
    <mergeCell ref="AK3:AN4"/>
    <mergeCell ref="AO3:AS3"/>
    <mergeCell ref="F5:I5"/>
    <mergeCell ref="K5:L5"/>
    <mergeCell ref="O3:O4"/>
    <mergeCell ref="P3:Q4"/>
    <mergeCell ref="R3:T4"/>
    <mergeCell ref="U3:W4"/>
    <mergeCell ref="X3:Z4"/>
    <mergeCell ref="AA3:AC4"/>
    <mergeCell ref="AM5:AN7"/>
    <mergeCell ref="AO5:AO7"/>
    <mergeCell ref="A3:B4"/>
    <mergeCell ref="C3:D4"/>
    <mergeCell ref="E3:I4"/>
    <mergeCell ref="J3:L4"/>
    <mergeCell ref="M3:N4"/>
    <mergeCell ref="P66:Q68"/>
    <mergeCell ref="R66:S68"/>
    <mergeCell ref="T66:U68"/>
    <mergeCell ref="R54:S56"/>
    <mergeCell ref="P54:Q56"/>
    <mergeCell ref="T54:U56"/>
    <mergeCell ref="P60:Q62"/>
    <mergeCell ref="R60:S62"/>
    <mergeCell ref="T60:U62"/>
    <mergeCell ref="O59:U59"/>
    <mergeCell ref="O64:U65"/>
    <mergeCell ref="O66:O68"/>
    <mergeCell ref="P63:Q63"/>
    <mergeCell ref="R63:S63"/>
    <mergeCell ref="T63:U63"/>
    <mergeCell ref="C9:D12"/>
    <mergeCell ref="O9:O12"/>
    <mergeCell ref="F12:I12"/>
    <mergeCell ref="K12:L12"/>
    <mergeCell ref="S12:T12"/>
    <mergeCell ref="V12:W12"/>
    <mergeCell ref="Y12:Z12"/>
    <mergeCell ref="AB12:AC12"/>
    <mergeCell ref="F10:I10"/>
    <mergeCell ref="K10:L10"/>
    <mergeCell ref="AB10:AC10"/>
    <mergeCell ref="S10:T10"/>
    <mergeCell ref="V10:W10"/>
    <mergeCell ref="Y10:Z10"/>
    <mergeCell ref="Y11:Z11"/>
    <mergeCell ref="P9:Q12"/>
    <mergeCell ref="F11:I11"/>
    <mergeCell ref="AB24:AC24"/>
    <mergeCell ref="F27:I27"/>
    <mergeCell ref="F16:I16"/>
    <mergeCell ref="K16:L16"/>
    <mergeCell ref="S16:T16"/>
    <mergeCell ref="V16:W16"/>
    <mergeCell ref="Y16:Z16"/>
    <mergeCell ref="AB16:AC16"/>
    <mergeCell ref="O13:O16"/>
    <mergeCell ref="P13:Q16"/>
    <mergeCell ref="S13:T13"/>
    <mergeCell ref="Y13:Z13"/>
    <mergeCell ref="AB13:AC13"/>
    <mergeCell ref="V15:W15"/>
    <mergeCell ref="Y15:Z15"/>
    <mergeCell ref="AB15:AC15"/>
    <mergeCell ref="F15:I15"/>
    <mergeCell ref="Y14:Z14"/>
    <mergeCell ref="AB14:AC14"/>
    <mergeCell ref="F13:I13"/>
    <mergeCell ref="K13:L13"/>
    <mergeCell ref="V13:W13"/>
    <mergeCell ref="AB18:AC18"/>
    <mergeCell ref="F22:I22"/>
    <mergeCell ref="A17:B20"/>
    <mergeCell ref="C17:D20"/>
    <mergeCell ref="A21:B24"/>
    <mergeCell ref="C21:D24"/>
    <mergeCell ref="A25:B28"/>
    <mergeCell ref="C25:D28"/>
    <mergeCell ref="O17:O20"/>
    <mergeCell ref="P17:Q20"/>
    <mergeCell ref="P21:Q24"/>
    <mergeCell ref="O21:O24"/>
    <mergeCell ref="O25:O28"/>
    <mergeCell ref="M5:N32"/>
    <mergeCell ref="O29:O32"/>
    <mergeCell ref="P29:Q32"/>
    <mergeCell ref="P25:Q28"/>
    <mergeCell ref="F32:I32"/>
    <mergeCell ref="K32:L32"/>
    <mergeCell ref="A29:B32"/>
    <mergeCell ref="C29:D32"/>
    <mergeCell ref="F28:I28"/>
    <mergeCell ref="K28:L28"/>
    <mergeCell ref="A13:B16"/>
    <mergeCell ref="C13:D16"/>
    <mergeCell ref="A9:B12"/>
    <mergeCell ref="T50:U52"/>
    <mergeCell ref="P49:Q49"/>
    <mergeCell ref="R49:S49"/>
    <mergeCell ref="T49:U49"/>
    <mergeCell ref="O37:O39"/>
    <mergeCell ref="S28:T28"/>
    <mergeCell ref="V28:W28"/>
    <mergeCell ref="Y28:Z28"/>
    <mergeCell ref="V24:W24"/>
    <mergeCell ref="Y24:Z24"/>
    <mergeCell ref="R41:S43"/>
    <mergeCell ref="R37:S39"/>
    <mergeCell ref="T37:U39"/>
    <mergeCell ref="S24:T24"/>
    <mergeCell ref="O41:O43"/>
    <mergeCell ref="O45:O47"/>
    <mergeCell ref="S25:T25"/>
    <mergeCell ref="V29:W29"/>
    <mergeCell ref="V31:W31"/>
    <mergeCell ref="V30:W30"/>
    <mergeCell ref="S31:T31"/>
    <mergeCell ref="V25:W25"/>
    <mergeCell ref="Y25:Z25"/>
  </mergeCells>
  <phoneticPr fontId="2"/>
  <pageMargins left="0.7" right="0.7" top="0.75" bottom="0.75" header="0.3" footer="0.3"/>
  <pageSetup paperSize="9"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保険税試算</vt:lpstr>
      <vt:lpstr>R7給与所得速算表</vt:lpstr>
      <vt:lpstr>R7年金所得速算表</vt:lpstr>
      <vt:lpstr>修正不可</vt:lpstr>
      <vt:lpstr>保険税試算!Print_Area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T1194.y.igeta</cp:lastModifiedBy>
  <cp:lastPrinted>2026-01-16T02:45:50Z</cp:lastPrinted>
  <dcterms:created xsi:type="dcterms:W3CDTF">2017-07-07T01:58:19Z</dcterms:created>
  <dcterms:modified xsi:type="dcterms:W3CDTF">2026-03-10T08:15:02Z</dcterms:modified>
</cp:coreProperties>
</file>