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201\各課等\国保年金課\国保税班\○H30・H31・R2・R3ホームページコンテンツ\R7コンテンツ\試算ツール\"/>
    </mc:Choice>
  </mc:AlternateContent>
  <xr:revisionPtr revIDLastSave="0" documentId="13_ncr:1_{70326D4D-159E-43A0-A175-D7C7F14DFE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保険税試算" sheetId="2" r:id="rId1"/>
    <sheet name="R6給与所得速算表" sheetId="9" r:id="rId2"/>
    <sheet name="R6年金所得速算表" sheetId="10" r:id="rId3"/>
    <sheet name="修正不可" sheetId="5" r:id="rId4"/>
  </sheets>
  <definedNames>
    <definedName name="_xlnm.Print_Area" localSheetId="0">保険税試算!$A$1:$AF$70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9" l="1"/>
  <c r="O8" i="5" l="1"/>
  <c r="AI24" i="5"/>
  <c r="AI25" i="5"/>
  <c r="AI23" i="5"/>
  <c r="AI21" i="5"/>
  <c r="AI22" i="5"/>
  <c r="AI20" i="5"/>
  <c r="AI18" i="5"/>
  <c r="AI19" i="5"/>
  <c r="AI17" i="5"/>
  <c r="AB5" i="5" l="1"/>
  <c r="O23" i="5"/>
  <c r="S7" i="5" l="1"/>
  <c r="P5" i="5"/>
  <c r="J31" i="2" l="1"/>
  <c r="H32" i="5" l="1"/>
  <c r="J32" i="5" s="1"/>
  <c r="H36" i="5"/>
  <c r="H40" i="5"/>
  <c r="O20" i="5" l="1"/>
  <c r="O17" i="5"/>
  <c r="O14" i="5"/>
  <c r="O11" i="5"/>
  <c r="J72" i="10" l="1"/>
  <c r="J71" i="10"/>
  <c r="J70" i="10"/>
  <c r="J69" i="10"/>
  <c r="J68" i="10"/>
  <c r="J64" i="10"/>
  <c r="J63" i="10"/>
  <c r="J62" i="10"/>
  <c r="J61" i="10"/>
  <c r="J60" i="10"/>
  <c r="J52" i="10"/>
  <c r="J51" i="10"/>
  <c r="J50" i="10"/>
  <c r="J49" i="10"/>
  <c r="J48" i="10"/>
  <c r="J44" i="10"/>
  <c r="J43" i="10"/>
  <c r="J42" i="10"/>
  <c r="J41" i="10"/>
  <c r="J40" i="10"/>
  <c r="J32" i="10"/>
  <c r="J31" i="10"/>
  <c r="J30" i="10"/>
  <c r="J29" i="10"/>
  <c r="J28" i="10"/>
  <c r="J24" i="10"/>
  <c r="J23" i="10"/>
  <c r="J22" i="10"/>
  <c r="J21" i="10"/>
  <c r="J20" i="10"/>
  <c r="H20" i="9" l="1"/>
  <c r="K20" i="9" s="1"/>
  <c r="H19" i="9"/>
  <c r="K19" i="9" s="1"/>
  <c r="H18" i="9"/>
  <c r="K18" i="9" s="1"/>
  <c r="H17" i="9"/>
  <c r="K21" i="9"/>
  <c r="K15" i="9" l="1"/>
  <c r="K10" i="9"/>
  <c r="K17" i="9" s="1"/>
  <c r="AB20" i="5" l="1"/>
  <c r="F25" i="5"/>
  <c r="AB25" i="5"/>
  <c r="AB24" i="5"/>
  <c r="AB23" i="5"/>
  <c r="AB22" i="5"/>
  <c r="AB21" i="5"/>
  <c r="AB19" i="5"/>
  <c r="AB18" i="5"/>
  <c r="AB17" i="5"/>
  <c r="Y25" i="5"/>
  <c r="Y24" i="5"/>
  <c r="Y23" i="5"/>
  <c r="Y20" i="5"/>
  <c r="Y21" i="5"/>
  <c r="Y22" i="5"/>
  <c r="Y19" i="5"/>
  <c r="Y18" i="5"/>
  <c r="Y17" i="5"/>
  <c r="V25" i="5"/>
  <c r="V24" i="5"/>
  <c r="V22" i="5"/>
  <c r="V21" i="5"/>
  <c r="V19" i="5"/>
  <c r="V18" i="5"/>
  <c r="V17" i="5"/>
  <c r="V5" i="5"/>
  <c r="V6" i="5"/>
  <c r="V7" i="5"/>
  <c r="V8" i="5"/>
  <c r="V9" i="5"/>
  <c r="V10" i="5"/>
  <c r="V11" i="5"/>
  <c r="V12" i="5"/>
  <c r="V13" i="5"/>
  <c r="V14" i="5"/>
  <c r="V15" i="5"/>
  <c r="V16" i="5"/>
  <c r="V20" i="5"/>
  <c r="V23" i="5"/>
  <c r="S25" i="5"/>
  <c r="Y5" i="5"/>
  <c r="Y6" i="5"/>
  <c r="Y7" i="5"/>
  <c r="Y8" i="5"/>
  <c r="Y9" i="5"/>
  <c r="Y10" i="5"/>
  <c r="Y11" i="5"/>
  <c r="Y12" i="5"/>
  <c r="Y13" i="5"/>
  <c r="Y14" i="5"/>
  <c r="Y15" i="5"/>
  <c r="Y16" i="5"/>
  <c r="S24" i="5"/>
  <c r="S21" i="5"/>
  <c r="S22" i="5"/>
  <c r="S19" i="5"/>
  <c r="S18" i="5"/>
  <c r="S23" i="5"/>
  <c r="S20" i="5"/>
  <c r="S17" i="5"/>
  <c r="C23" i="5"/>
  <c r="F24" i="5" s="1"/>
  <c r="C20" i="5"/>
  <c r="C17" i="5"/>
  <c r="F18" i="5" s="1"/>
  <c r="P23" i="5"/>
  <c r="A23" i="5" s="1"/>
  <c r="P20" i="5"/>
  <c r="A20" i="5" s="1"/>
  <c r="P17" i="5"/>
  <c r="A17" i="5" s="1"/>
  <c r="AM14" i="5"/>
  <c r="AB16" i="5"/>
  <c r="AB15" i="5"/>
  <c r="AB14" i="5"/>
  <c r="AB13" i="5"/>
  <c r="AB12" i="5"/>
  <c r="AB11" i="5"/>
  <c r="AB10" i="5"/>
  <c r="AB9" i="5"/>
  <c r="AB8" i="5"/>
  <c r="AB7" i="5"/>
  <c r="AB6" i="5"/>
  <c r="S16" i="5"/>
  <c r="S15" i="5"/>
  <c r="S14" i="5"/>
  <c r="S13" i="5"/>
  <c r="S12" i="5"/>
  <c r="S11" i="5"/>
  <c r="S10" i="5"/>
  <c r="S9" i="5"/>
  <c r="S8" i="5"/>
  <c r="S6" i="5"/>
  <c r="S5" i="5"/>
  <c r="F13" i="5"/>
  <c r="P14" i="5"/>
  <c r="A14" i="5" s="1"/>
  <c r="C14" i="5"/>
  <c r="F14" i="5" s="1"/>
  <c r="P11" i="5"/>
  <c r="A11" i="5" s="1"/>
  <c r="C11" i="5"/>
  <c r="F11" i="5" s="1"/>
  <c r="P8" i="5"/>
  <c r="A8" i="5" s="1"/>
  <c r="C8" i="5"/>
  <c r="F8" i="5" s="1"/>
  <c r="A5" i="5"/>
  <c r="E27" i="2"/>
  <c r="D27" i="2"/>
  <c r="C27" i="2"/>
  <c r="D37" i="5" s="1"/>
  <c r="J36" i="5" s="1"/>
  <c r="B27" i="2"/>
  <c r="O5" i="5" l="1"/>
  <c r="C5" i="5" s="1"/>
  <c r="F5" i="5" s="1"/>
  <c r="AM11" i="5"/>
  <c r="AM5" i="5"/>
  <c r="K44" i="5"/>
  <c r="L36" i="5" s="1"/>
  <c r="F23" i="5"/>
  <c r="F9" i="5"/>
  <c r="F17" i="5"/>
  <c r="F19" i="5"/>
  <c r="F20" i="5"/>
  <c r="F21" i="5"/>
  <c r="F22" i="5"/>
  <c r="F10" i="5"/>
  <c r="F16" i="5"/>
  <c r="AM8" i="5"/>
  <c r="F12" i="5"/>
  <c r="F15" i="5"/>
  <c r="P26" i="5"/>
  <c r="D41" i="5"/>
  <c r="F29" i="2" l="1"/>
  <c r="F6" i="5"/>
  <c r="F36" i="2" s="1"/>
  <c r="F7" i="5"/>
  <c r="L32" i="5"/>
  <c r="J40" i="5"/>
  <c r="C36" i="2"/>
  <c r="L40" i="5" l="1"/>
  <c r="AH5" i="5" s="1"/>
  <c r="AF23" i="5"/>
  <c r="AO5" i="5"/>
  <c r="AE22" i="5"/>
  <c r="AE23" i="5"/>
  <c r="AE24" i="5"/>
  <c r="AE20" i="5"/>
  <c r="AE25" i="5"/>
  <c r="AE21" i="5"/>
  <c r="AE12" i="5"/>
  <c r="AE18" i="5"/>
  <c r="AE6" i="5"/>
  <c r="AE19" i="5"/>
  <c r="AE13" i="5"/>
  <c r="AE17" i="5"/>
  <c r="AE7" i="5"/>
  <c r="AE8" i="5"/>
  <c r="AE15" i="5"/>
  <c r="AE14" i="5"/>
  <c r="AE9" i="5"/>
  <c r="AE5" i="5"/>
  <c r="AE11" i="5"/>
  <c r="AE10" i="5"/>
  <c r="AE16" i="5"/>
  <c r="AG23" i="5" l="1"/>
  <c r="AQ5" i="5"/>
  <c r="AF13" i="5"/>
  <c r="AI13" i="5" s="1"/>
  <c r="AF17" i="5"/>
  <c r="AF8" i="5"/>
  <c r="AH16" i="5"/>
  <c r="AG10" i="5"/>
  <c r="AF18" i="5"/>
  <c r="AF10" i="5"/>
  <c r="AF16" i="5"/>
  <c r="AF19" i="5"/>
  <c r="AH8" i="5"/>
  <c r="AF14" i="5"/>
  <c r="AF7" i="5"/>
  <c r="AF9" i="5"/>
  <c r="AP5" i="5"/>
  <c r="AF11" i="5"/>
  <c r="AF15" i="5"/>
  <c r="AF12" i="5"/>
  <c r="AI12" i="5" s="1"/>
  <c r="AF6" i="5"/>
  <c r="AG6" i="5"/>
  <c r="AG16" i="5"/>
  <c r="AI16" i="5" s="1"/>
  <c r="AG14" i="5"/>
  <c r="AF21" i="5"/>
  <c r="AH6" i="5"/>
  <c r="AF20" i="5"/>
  <c r="AG22" i="5"/>
  <c r="AH14" i="5"/>
  <c r="AG15" i="5"/>
  <c r="AG20" i="5"/>
  <c r="AH24" i="5"/>
  <c r="AH25" i="5"/>
  <c r="AH19" i="5"/>
  <c r="AG8" i="5"/>
  <c r="AR5" i="5"/>
  <c r="AG12" i="5"/>
  <c r="AF22" i="5"/>
  <c r="AF24" i="5"/>
  <c r="AG5" i="5"/>
  <c r="AH15" i="5"/>
  <c r="AI15" i="5" s="1"/>
  <c r="AG11" i="5"/>
  <c r="AG18" i="5"/>
  <c r="AG21" i="5"/>
  <c r="AH20" i="5"/>
  <c r="AH18" i="5"/>
  <c r="AG7" i="5"/>
  <c r="AH7" i="5"/>
  <c r="AH12" i="5"/>
  <c r="AG17" i="5"/>
  <c r="AH13" i="5"/>
  <c r="AH9" i="5"/>
  <c r="AF25" i="5"/>
  <c r="AF5" i="5"/>
  <c r="AG24" i="5"/>
  <c r="AH17" i="5"/>
  <c r="AG19" i="5"/>
  <c r="AG9" i="5"/>
  <c r="AG13" i="5"/>
  <c r="AH10" i="5"/>
  <c r="AH11" i="5"/>
  <c r="AG25" i="5"/>
  <c r="AH23" i="5"/>
  <c r="AH21" i="5"/>
  <c r="AH22" i="5"/>
  <c r="AI14" i="5" l="1"/>
  <c r="AJ14" i="5" s="1"/>
  <c r="K14" i="5" s="1"/>
  <c r="AI11" i="5"/>
  <c r="AJ11" i="5" s="1"/>
  <c r="K11" i="5" s="1"/>
  <c r="AI5" i="5"/>
  <c r="AJ5" i="5" s="1"/>
  <c r="K5" i="5" s="1"/>
  <c r="AI6" i="5"/>
  <c r="AJ6" i="5" s="1"/>
  <c r="K6" i="5" s="1"/>
  <c r="AI8" i="5"/>
  <c r="AJ8" i="5" s="1"/>
  <c r="K8" i="5" s="1"/>
  <c r="AI9" i="5"/>
  <c r="AJ9" i="5" s="1"/>
  <c r="K9" i="5" s="1"/>
  <c r="AI10" i="5"/>
  <c r="AJ10" i="5" s="1"/>
  <c r="K10" i="5" s="1"/>
  <c r="AI7" i="5"/>
  <c r="AJ7" i="5" s="1"/>
  <c r="K7" i="5" s="1"/>
  <c r="AJ19" i="5"/>
  <c r="K19" i="5" s="1"/>
  <c r="AJ25" i="5"/>
  <c r="K25" i="5" s="1"/>
  <c r="AJ18" i="5"/>
  <c r="K18" i="5" s="1"/>
  <c r="AJ17" i="5"/>
  <c r="K17" i="5" s="1"/>
  <c r="AJ12" i="5"/>
  <c r="K12" i="5" s="1"/>
  <c r="AJ15" i="5"/>
  <c r="K15" i="5" s="1"/>
  <c r="AJ16" i="5"/>
  <c r="K16" i="5" s="1"/>
  <c r="AJ23" i="5"/>
  <c r="K23" i="5" s="1"/>
  <c r="AJ13" i="5"/>
  <c r="K13" i="5" s="1"/>
  <c r="AJ24" i="5"/>
  <c r="K24" i="5" s="1"/>
  <c r="AJ20" i="5"/>
  <c r="K20" i="5" s="1"/>
  <c r="AJ22" i="5"/>
  <c r="K22" i="5" s="1"/>
  <c r="AJ21" i="5"/>
  <c r="K21" i="5" s="1"/>
  <c r="AS5" i="5"/>
  <c r="C44" i="2" s="1"/>
  <c r="C40" i="2" l="1"/>
  <c r="C48" i="2" s="1"/>
  <c r="P53" i="5" s="1"/>
  <c r="P59" i="5" s="1"/>
  <c r="C53" i="2" s="1"/>
  <c r="M5" i="5"/>
  <c r="AT15" i="5" s="1"/>
  <c r="L15" i="2" s="1"/>
  <c r="J36" i="2"/>
  <c r="J40" i="2"/>
  <c r="F40" i="2"/>
  <c r="F48" i="2" s="1"/>
  <c r="R53" i="5" s="1"/>
  <c r="R59" i="5" l="1"/>
  <c r="F53" i="2" s="1"/>
  <c r="AT6" i="5"/>
  <c r="L6" i="2" s="1"/>
  <c r="AT12" i="5"/>
  <c r="L12" i="2" s="1"/>
  <c r="AT24" i="5"/>
  <c r="L24" i="2" s="1"/>
  <c r="AT21" i="5"/>
  <c r="L21" i="2" s="1"/>
  <c r="AT9" i="5"/>
  <c r="L9" i="2" s="1"/>
  <c r="AT18" i="5"/>
  <c r="L18" i="2" s="1"/>
  <c r="J48" i="2"/>
  <c r="T53" i="5" s="1"/>
  <c r="T59" i="5" s="1"/>
  <c r="J53" i="2" s="1"/>
  <c r="P5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550,000円未満は下段へ移行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<sst xmlns="http://schemas.openxmlformats.org/spreadsheetml/2006/main" count="510" uniqueCount="154">
  <si>
    <t>+</t>
    <phoneticPr fontId="2"/>
  </si>
  <si>
    <t>＝</t>
    <phoneticPr fontId="2"/>
  </si>
  <si>
    <t>医療分</t>
    <rPh sb="0" eb="2">
      <t>イリョウ</t>
    </rPh>
    <rPh sb="2" eb="3">
      <t>ブン</t>
    </rPh>
    <phoneticPr fontId="2"/>
  </si>
  <si>
    <t>小計</t>
    <rPh sb="0" eb="2">
      <t>ショウケイ</t>
    </rPh>
    <phoneticPr fontId="2"/>
  </si>
  <si>
    <t>所得</t>
    <rPh sb="0" eb="2">
      <t>ショトク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</si>
  <si>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</si>
  <si>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年金</t>
    <rPh sb="0" eb="2">
      <t>ネンキン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</si>
  <si>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</si>
  <si>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</si>
  <si>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加入</t>
    <rPh sb="0" eb="2">
      <t>カニュウ</t>
    </rPh>
    <phoneticPr fontId="2"/>
  </si>
  <si>
    <t>基礎控除額</t>
    <rPh sb="0" eb="2">
      <t>キソ</t>
    </rPh>
    <rPh sb="2" eb="4">
      <t>コウジョ</t>
    </rPh>
    <rPh sb="4" eb="5">
      <t>ガク</t>
    </rPh>
    <phoneticPr fontId="2"/>
  </si>
  <si>
    <t>医療</t>
    <rPh sb="0" eb="2">
      <t>イリョウ</t>
    </rPh>
    <phoneticPr fontId="2"/>
  </si>
  <si>
    <t>支援</t>
    <rPh sb="0" eb="2">
      <t>シエン</t>
    </rPh>
    <phoneticPr fontId="2"/>
  </si>
  <si>
    <t>介護</t>
    <rPh sb="0" eb="2">
      <t>カイゴ</t>
    </rPh>
    <phoneticPr fontId="2"/>
  </si>
  <si>
    <t>世帯主</t>
    <rPh sb="0" eb="3">
      <t>セタイヌシ</t>
    </rPh>
    <phoneticPr fontId="2"/>
  </si>
  <si>
    <t>軽減判定</t>
    <rPh sb="0" eb="2">
      <t>ケイゲン</t>
    </rPh>
    <rPh sb="2" eb="4">
      <t>ハンテイ</t>
    </rPh>
    <phoneticPr fontId="2"/>
  </si>
  <si>
    <t>７割軽減</t>
    <rPh sb="1" eb="2">
      <t>ワリ</t>
    </rPh>
    <rPh sb="2" eb="4">
      <t>ケイゲン</t>
    </rPh>
    <phoneticPr fontId="2"/>
  </si>
  <si>
    <t>５割軽減</t>
    <rPh sb="1" eb="2">
      <t>ワリ</t>
    </rPh>
    <rPh sb="2" eb="4">
      <t>ケイゲン</t>
    </rPh>
    <phoneticPr fontId="2"/>
  </si>
  <si>
    <t>２割軽減</t>
    <rPh sb="1" eb="2">
      <t>ワリ</t>
    </rPh>
    <rPh sb="2" eb="4">
      <t>ケイゲン</t>
    </rPh>
    <phoneticPr fontId="2"/>
  </si>
  <si>
    <t>加入者数</t>
    <rPh sb="0" eb="3">
      <t>カニュウシャ</t>
    </rPh>
    <rPh sb="3" eb="4">
      <t>スウ</t>
    </rPh>
    <phoneticPr fontId="2"/>
  </si>
  <si>
    <t>×</t>
    <phoneticPr fontId="2"/>
  </si>
  <si>
    <t>擬制
世帯主</t>
    <rPh sb="0" eb="2">
      <t>ギセイ</t>
    </rPh>
    <rPh sb="3" eb="6">
      <t>セタイヌシ</t>
    </rPh>
    <phoneticPr fontId="2"/>
  </si>
  <si>
    <t>判定</t>
    <rPh sb="0" eb="2">
      <t>ハンテイ</t>
    </rPh>
    <phoneticPr fontId="2"/>
  </si>
  <si>
    <t>基準額</t>
    <rPh sb="0" eb="2">
      <t>キジュン</t>
    </rPh>
    <rPh sb="2" eb="3">
      <t>ガク</t>
    </rPh>
    <phoneticPr fontId="2"/>
  </si>
  <si>
    <t>軽減判定所得合計</t>
    <rPh sb="0" eb="2">
      <t>ケイゲン</t>
    </rPh>
    <rPh sb="2" eb="4">
      <t>ハンテイ</t>
    </rPh>
    <rPh sb="4" eb="6">
      <t>ショトク</t>
    </rPh>
    <rPh sb="6" eb="8">
      <t>ゴウケイ</t>
    </rPh>
    <phoneticPr fontId="2"/>
  </si>
  <si>
    <t>軽減７割</t>
    <rPh sb="0" eb="2">
      <t>ケイゲン</t>
    </rPh>
    <rPh sb="3" eb="4">
      <t>ワリ</t>
    </rPh>
    <phoneticPr fontId="2"/>
  </si>
  <si>
    <t>40-64歳
該当者</t>
    <rPh sb="5" eb="6">
      <t>サイ</t>
    </rPh>
    <rPh sb="7" eb="10">
      <t>ガイトウシャ</t>
    </rPh>
    <phoneticPr fontId="2"/>
  </si>
  <si>
    <t>軽減５割</t>
    <rPh sb="0" eb="2">
      <t>ケイゲン</t>
    </rPh>
    <rPh sb="3" eb="4">
      <t>ワリ</t>
    </rPh>
    <phoneticPr fontId="2"/>
  </si>
  <si>
    <t>軽減２割</t>
    <rPh sb="0" eb="2">
      <t>ケイゲン</t>
    </rPh>
    <rPh sb="3" eb="4">
      <t>ワリ</t>
    </rPh>
    <phoneticPr fontId="2"/>
  </si>
  <si>
    <t>軽減なし</t>
    <rPh sb="0" eb="2">
      <t>ケイゲン</t>
    </rPh>
    <phoneticPr fontId="2"/>
  </si>
  <si>
    <t>７割</t>
    <rPh sb="1" eb="2">
      <t>ワリ</t>
    </rPh>
    <phoneticPr fontId="2"/>
  </si>
  <si>
    <t>５割</t>
    <rPh sb="1" eb="2">
      <t>ワリ</t>
    </rPh>
    <phoneticPr fontId="2"/>
  </si>
  <si>
    <t>２割</t>
    <rPh sb="1" eb="2">
      <t>ワリ</t>
    </rPh>
    <phoneticPr fontId="2"/>
  </si>
  <si>
    <t>計</t>
    <rPh sb="0" eb="1">
      <t>ケイ</t>
    </rPh>
    <phoneticPr fontId="2"/>
  </si>
  <si>
    <t>平等割</t>
    <rPh sb="0" eb="2">
      <t>ビョウドウ</t>
    </rPh>
    <rPh sb="2" eb="3">
      <t>ワリ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</si>
  <si>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</si>
  <si>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平等割額軽減額</t>
    <rPh sb="0" eb="2">
      <t>ビョウドウ</t>
    </rPh>
    <rPh sb="2" eb="3">
      <t>ワリ</t>
    </rPh>
    <rPh sb="3" eb="4">
      <t>ガク</t>
    </rPh>
    <rPh sb="4" eb="6">
      <t>ケイゲン</t>
    </rPh>
    <rPh sb="6" eb="7">
      <t>ガク</t>
    </rPh>
    <phoneticPr fontId="2"/>
  </si>
  <si>
    <t>１人あたり
負担額</t>
    <rPh sb="1" eb="2">
      <t>ニン</t>
    </rPh>
    <rPh sb="6" eb="8">
      <t>フタン</t>
    </rPh>
    <rPh sb="8" eb="9">
      <t>ガク</t>
    </rPh>
    <phoneticPr fontId="2"/>
  </si>
  <si>
    <t>介護保険関係</t>
    <rPh sb="0" eb="2">
      <t>カイゴ</t>
    </rPh>
    <rPh sb="2" eb="4">
      <t>ホケン</t>
    </rPh>
    <rPh sb="4" eb="6">
      <t>カンケイ</t>
    </rPh>
    <phoneticPr fontId="2"/>
  </si>
  <si>
    <r>
      <t xml:space="preserve">合計
</t>
    </r>
    <r>
      <rPr>
        <b/>
        <sz val="12"/>
        <color rgb="FFFF0000"/>
        <rFont val="ＭＳ Ｐゴシック"/>
        <family val="3"/>
        <charset val="128"/>
        <scheme val="minor"/>
      </rPr>
      <t>（100円未満切り捨て）</t>
    </r>
    <rPh sb="0" eb="2">
      <t>ゴウケイ</t>
    </rPh>
    <rPh sb="7" eb="8">
      <t>エン</t>
    </rPh>
    <rPh sb="8" eb="10">
      <t>ミマン</t>
    </rPh>
    <rPh sb="10" eb="11">
      <t>キ</t>
    </rPh>
    <rPh sb="12" eb="13">
      <t>ス</t>
    </rPh>
    <phoneticPr fontId="2"/>
  </si>
  <si>
    <t>該当
月数</t>
    <rPh sb="0" eb="2">
      <t>ガイトウ</t>
    </rPh>
    <rPh sb="3" eb="5">
      <t>ツキスウ</t>
    </rPh>
    <phoneticPr fontId="2"/>
  </si>
  <si>
    <t>加入
月数</t>
    <rPh sb="0" eb="2">
      <t>カニュウ</t>
    </rPh>
    <rPh sb="3" eb="4">
      <t>ツキ</t>
    </rPh>
    <rPh sb="4" eb="5">
      <t>スウ</t>
    </rPh>
    <phoneticPr fontId="2"/>
  </si>
  <si>
    <t>名前</t>
    <rPh sb="0" eb="2">
      <t>ナマエ</t>
    </rPh>
    <phoneticPr fontId="2"/>
  </si>
  <si>
    <t>なし</t>
    <phoneticPr fontId="2"/>
  </si>
  <si>
    <t>課税総所得金額</t>
    <rPh sb="0" eb="2">
      <t>カゼイ</t>
    </rPh>
    <rPh sb="2" eb="5">
      <t>ソウショトク</t>
    </rPh>
    <rPh sb="5" eb="7">
      <t>キンガク</t>
    </rPh>
    <phoneticPr fontId="2"/>
  </si>
  <si>
    <t>課税所得</t>
    <rPh sb="0" eb="2">
      <t>カゼイ</t>
    </rPh>
    <rPh sb="2" eb="4">
      <t>ショトク</t>
    </rPh>
    <phoneticPr fontId="2"/>
  </si>
  <si>
    <t>後期高齢者
支援分</t>
    <rPh sb="0" eb="2">
      <t>コウキ</t>
    </rPh>
    <rPh sb="2" eb="5">
      <t>コウレイシャ</t>
    </rPh>
    <rPh sb="6" eb="8">
      <t>シエン</t>
    </rPh>
    <rPh sb="8" eb="9">
      <t>ブン</t>
    </rPh>
    <phoneticPr fontId="2"/>
  </si>
  <si>
    <r>
      <t xml:space="preserve">介護保険分
</t>
    </r>
    <r>
      <rPr>
        <b/>
        <sz val="12"/>
        <color theme="1"/>
        <rFont val="ＭＳ Ｐゴシック"/>
        <family val="3"/>
        <charset val="128"/>
        <scheme val="minor"/>
      </rPr>
      <t>（40歳から64歳まで）</t>
    </r>
    <rPh sb="0" eb="2">
      <t>カイゴ</t>
    </rPh>
    <rPh sb="2" eb="4">
      <t>ホケン</t>
    </rPh>
    <rPh sb="4" eb="5">
      <t>ブン</t>
    </rPh>
    <rPh sb="9" eb="10">
      <t>サイ</t>
    </rPh>
    <rPh sb="14" eb="15">
      <t>サイ</t>
    </rPh>
    <phoneticPr fontId="2"/>
  </si>
  <si>
    <t>賦課限度額</t>
    <rPh sb="0" eb="2">
      <t>フカ</t>
    </rPh>
    <rPh sb="2" eb="4">
      <t>ゲンド</t>
    </rPh>
    <rPh sb="4" eb="5">
      <t>ガク</t>
    </rPh>
    <phoneticPr fontId="2"/>
  </si>
  <si>
    <t>所得割税率</t>
    <rPh sb="0" eb="2">
      <t>ショトク</t>
    </rPh>
    <rPh sb="2" eb="3">
      <t>ワリ</t>
    </rPh>
    <rPh sb="3" eb="5">
      <t>ゼイリツ</t>
    </rPh>
    <phoneticPr fontId="2"/>
  </si>
  <si>
    <t>小計合計</t>
    <rPh sb="0" eb="2">
      <t>ショウケイ</t>
    </rPh>
    <rPh sb="2" eb="4">
      <t>ゴウケイ</t>
    </rPh>
    <phoneticPr fontId="2"/>
  </si>
  <si>
    <t>賦課限度額反映後</t>
    <rPh sb="0" eb="2">
      <t>フカ</t>
    </rPh>
    <rPh sb="2" eb="4">
      <t>ゲンド</t>
    </rPh>
    <rPh sb="4" eb="5">
      <t>ガク</t>
    </rPh>
    <rPh sb="5" eb="7">
      <t>ハンエイ</t>
    </rPh>
    <rPh sb="7" eb="8">
      <t>ゴ</t>
    </rPh>
    <phoneticPr fontId="2"/>
  </si>
  <si>
    <t>軽減判定基準</t>
    <rPh sb="0" eb="2">
      <t>ケイゲン</t>
    </rPh>
    <rPh sb="2" eb="4">
      <t>ハンテイ</t>
    </rPh>
    <rPh sb="4" eb="6">
      <t>キジュン</t>
    </rPh>
    <phoneticPr fontId="2"/>
  </si>
  <si>
    <t>７割</t>
    <rPh sb="1" eb="2">
      <t>ワリ</t>
    </rPh>
    <phoneticPr fontId="2"/>
  </si>
  <si>
    <t>５割</t>
    <rPh sb="1" eb="2">
      <t>ワリ</t>
    </rPh>
    <phoneticPr fontId="2"/>
  </si>
  <si>
    <t>２割</t>
    <rPh sb="1" eb="2">
      <t>ワリ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</si>
  <si>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</si>
  <si>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</si>
  <si>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</si>
  <si>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</si>
  <si>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</si>
  <si>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</si>
  <si>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←</t>
    <phoneticPr fontId="2"/>
  </si>
  <si>
    <t>税額</t>
    <rPh sb="0" eb="2">
      <t>ゼイガク</t>
    </rPh>
    <phoneticPr fontId="2"/>
  </si>
  <si>
    <r>
      <rPr>
        <b/>
        <sz val="22"/>
        <color theme="1"/>
        <rFont val="ＭＳ Ｐゴシック"/>
        <family val="3"/>
        <charset val="128"/>
        <scheme val="minor"/>
      </rPr>
      <t>所得割</t>
    </r>
    <r>
      <rPr>
        <b/>
        <sz val="13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（課税総所得金額×各税率）
※月割り減額あり</t>
    </r>
    <rPh sb="0" eb="2">
      <t>ショトク</t>
    </rPh>
    <rPh sb="2" eb="3">
      <t>ワリ</t>
    </rPh>
    <rPh sb="5" eb="7">
      <t>カゼイ</t>
    </rPh>
    <rPh sb="7" eb="10">
      <t>ソウショトク</t>
    </rPh>
    <rPh sb="10" eb="12">
      <t>キンガク</t>
    </rPh>
    <rPh sb="13" eb="14">
      <t>カク</t>
    </rPh>
    <rPh sb="14" eb="16">
      <t>ゼイリツ</t>
    </rPh>
    <rPh sb="19" eb="21">
      <t>ツキワ</t>
    </rPh>
    <rPh sb="22" eb="24">
      <t>ゲンガク</t>
    </rPh>
    <phoneticPr fontId="2"/>
  </si>
  <si>
    <r>
      <rPr>
        <b/>
        <sz val="22"/>
        <color theme="1"/>
        <rFont val="ＭＳ Ｐゴシック"/>
        <family val="3"/>
        <charset val="128"/>
        <scheme val="minor"/>
      </rPr>
      <t>均等割</t>
    </r>
    <r>
      <rPr>
        <b/>
        <sz val="13"/>
        <color theme="1"/>
        <rFont val="ＭＳ Ｐゴシック"/>
        <family val="3"/>
        <charset val="128"/>
        <scheme val="minor"/>
      </rPr>
      <t xml:space="preserve">
（加入者数×均等割額）
※月割り減額あり</t>
    </r>
    <rPh sb="0" eb="2">
      <t>キントウ</t>
    </rPh>
    <rPh sb="2" eb="3">
      <t>ワリ</t>
    </rPh>
    <rPh sb="5" eb="8">
      <t>カニュウシャ</t>
    </rPh>
    <rPh sb="8" eb="9">
      <t>スウ</t>
    </rPh>
    <rPh sb="10" eb="13">
      <t>キントウワリ</t>
    </rPh>
    <rPh sb="13" eb="14">
      <t>ガク</t>
    </rPh>
    <rPh sb="17" eb="19">
      <t>ツキワ</t>
    </rPh>
    <rPh sb="20" eb="22">
      <t>ゲンガク</t>
    </rPh>
    <phoneticPr fontId="2"/>
  </si>
  <si>
    <r>
      <t xml:space="preserve">平等割
</t>
    </r>
    <r>
      <rPr>
        <b/>
        <sz val="13"/>
        <color theme="1"/>
        <rFont val="ＭＳ Ｐゴシック"/>
        <family val="3"/>
        <charset val="128"/>
        <scheme val="minor"/>
      </rPr>
      <t>（一世帯につき）
※月割り減額あり</t>
    </r>
    <rPh sb="0" eb="2">
      <t>ビョウドウ</t>
    </rPh>
    <rPh sb="2" eb="3">
      <t>ワリ</t>
    </rPh>
    <rPh sb="5" eb="8">
      <t>ヒトセタイ</t>
    </rPh>
    <rPh sb="14" eb="16">
      <t>ツキワ</t>
    </rPh>
    <rPh sb="17" eb="19">
      <t>ゲンガク</t>
    </rPh>
    <phoneticPr fontId="2"/>
  </si>
  <si>
    <t>給与所得の収入額の合計額（A）</t>
    <rPh sb="0" eb="2">
      <t>キュウヨ</t>
    </rPh>
    <rPh sb="2" eb="4">
      <t>ショトク</t>
    </rPh>
    <rPh sb="5" eb="7">
      <t>シュウニュウ</t>
    </rPh>
    <rPh sb="7" eb="8">
      <t>ガク</t>
    </rPh>
    <rPh sb="9" eb="11">
      <t>ゴウケイ</t>
    </rPh>
    <rPh sb="11" eb="12">
      <t>ガク</t>
    </rPh>
    <phoneticPr fontId="2"/>
  </si>
  <si>
    <t>給与所得控除額</t>
    <rPh sb="0" eb="2">
      <t>キュウヨ</t>
    </rPh>
    <rPh sb="2" eb="4">
      <t>ショトク</t>
    </rPh>
    <rPh sb="4" eb="6">
      <t>コウジョ</t>
    </rPh>
    <rPh sb="6" eb="7">
      <t>ガク</t>
    </rPh>
    <phoneticPr fontId="2"/>
  </si>
  <si>
    <t>→</t>
    <phoneticPr fontId="2"/>
  </si>
  <si>
    <t>収入金額
（A）</t>
    <rPh sb="0" eb="2">
      <t>シュウニュウ</t>
    </rPh>
    <rPh sb="2" eb="4">
      <t>キンガク</t>
    </rPh>
    <phoneticPr fontId="2"/>
  </si>
  <si>
    <t>給与所得控除額
（B）</t>
    <rPh sb="0" eb="2">
      <t>キュウヨ</t>
    </rPh>
    <rPh sb="2" eb="4">
      <t>ショトク</t>
    </rPh>
    <rPh sb="4" eb="6">
      <t>コウジョ</t>
    </rPh>
    <rPh sb="6" eb="7">
      <t>ガク</t>
    </rPh>
    <phoneticPr fontId="2"/>
  </si>
  <si>
    <t>○計算ツール</t>
    <rPh sb="1" eb="3">
      <t>ケイサン</t>
    </rPh>
    <phoneticPr fontId="2"/>
  </si>
  <si>
    <t>収入（支払）金額を入力してください</t>
    <rPh sb="0" eb="2">
      <t>シュウニュウ</t>
    </rPh>
    <rPh sb="3" eb="5">
      <t>シハライ</t>
    </rPh>
    <rPh sb="6" eb="8">
      <t>キンガク</t>
    </rPh>
    <rPh sb="9" eb="11">
      <t>ニュウリョク</t>
    </rPh>
    <phoneticPr fontId="2"/>
  </si>
  <si>
    <t>自動計算</t>
    <rPh sb="0" eb="2">
      <t>ジドウ</t>
    </rPh>
    <rPh sb="2" eb="4">
      <t>ケイサン</t>
    </rPh>
    <phoneticPr fontId="2"/>
  </si>
  <si>
    <t>↓</t>
    <phoneticPr fontId="2"/>
  </si>
  <si>
    <r>
      <t xml:space="preserve">給与所得控除後の金額
（A)-（B)
</t>
    </r>
    <r>
      <rPr>
        <sz val="11"/>
        <color rgb="FFFF0000"/>
        <rFont val="ＭＳ Ｐゴシック"/>
        <family val="3"/>
        <charset val="128"/>
        <scheme val="minor"/>
      </rPr>
      <t>※算出された数値を、「保険税試算」シートの⑤所得へ入力してください。</t>
    </r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20" eb="22">
      <t>サンシュツ</t>
    </rPh>
    <rPh sb="25" eb="27">
      <t>スウチ</t>
    </rPh>
    <rPh sb="30" eb="32">
      <t>ホケン</t>
    </rPh>
    <rPh sb="32" eb="33">
      <t>ゼイ</t>
    </rPh>
    <rPh sb="33" eb="35">
      <t>シサン</t>
    </rPh>
    <rPh sb="41" eb="43">
      <t>ショトク</t>
    </rPh>
    <rPh sb="44" eb="46">
      <t>ニュウリョク</t>
    </rPh>
    <phoneticPr fontId="2"/>
  </si>
  <si>
    <t>MEMO</t>
    <phoneticPr fontId="2"/>
  </si>
  <si>
    <t>太枠内へ必要事項をご入力ください。</t>
    <rPh sb="0" eb="2">
      <t>フトワク</t>
    </rPh>
    <rPh sb="2" eb="3">
      <t>ナイ</t>
    </rPh>
    <rPh sb="4" eb="6">
      <t>ヒツヨウ</t>
    </rPh>
    <rPh sb="6" eb="8">
      <t>ジコウ</t>
    </rPh>
    <rPh sb="10" eb="12">
      <t>ニュウリョク</t>
    </rPh>
    <phoneticPr fontId="2"/>
  </si>
  <si>
    <t>左記金額は、国保加入者にかかる税額全てを合算した金額です。</t>
    <rPh sb="0" eb="2">
      <t>サキ</t>
    </rPh>
    <rPh sb="2" eb="4">
      <t>キンガク</t>
    </rPh>
    <rPh sb="6" eb="8">
      <t>コクホ</t>
    </rPh>
    <rPh sb="8" eb="11">
      <t>カニュウシャ</t>
    </rPh>
    <rPh sb="15" eb="17">
      <t>ゼイガク</t>
    </rPh>
    <rPh sb="17" eb="18">
      <t>スベ</t>
    </rPh>
    <rPh sb="20" eb="22">
      <t>ガッサン</t>
    </rPh>
    <rPh sb="24" eb="26">
      <t>キンガク</t>
    </rPh>
    <phoneticPr fontId="2"/>
  </si>
  <si>
    <t>計算式</t>
    <rPh sb="0" eb="2">
      <t>ケイサン</t>
    </rPh>
    <rPh sb="2" eb="3">
      <t>シキ</t>
    </rPh>
    <phoneticPr fontId="2"/>
  </si>
  <si>
    <t>※給与所得控除額計算値（太枠内）が650,000以上は上段の数値
※給与所得控除額計算値（太枠内）が650,000未満は下段の数値</t>
    <rPh sb="1" eb="3">
      <t>キュウヨ</t>
    </rPh>
    <rPh sb="3" eb="5">
      <t>ショトク</t>
    </rPh>
    <rPh sb="5" eb="7">
      <t>コウジョ</t>
    </rPh>
    <rPh sb="7" eb="8">
      <t>ガク</t>
    </rPh>
    <rPh sb="8" eb="10">
      <t>ケイサン</t>
    </rPh>
    <rPh sb="10" eb="11">
      <t>アタイ</t>
    </rPh>
    <rPh sb="12" eb="14">
      <t>フトワク</t>
    </rPh>
    <rPh sb="14" eb="15">
      <t>ナイ</t>
    </rPh>
    <rPh sb="24" eb="26">
      <t>イジョウ</t>
    </rPh>
    <rPh sb="27" eb="29">
      <t>ジョウダン</t>
    </rPh>
    <rPh sb="30" eb="32">
      <t>スウチ</t>
    </rPh>
    <rPh sb="45" eb="47">
      <t>フトワク</t>
    </rPh>
    <rPh sb="47" eb="48">
      <t>ナイ</t>
    </rPh>
    <rPh sb="57" eb="59">
      <t>ミマン</t>
    </rPh>
    <rPh sb="60" eb="62">
      <t>ゲダン</t>
    </rPh>
    <phoneticPr fontId="2"/>
  </si>
  <si>
    <t>※同一年分の給与所得の源泉徴収票が２枚以上ある場合は、それらの支払金額の合計額により、上記の表を適用してください。</t>
    <rPh sb="1" eb="3">
      <t>ドウイツ</t>
    </rPh>
    <rPh sb="3" eb="5">
      <t>ネンブン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rPh sb="18" eb="19">
      <t>マイ</t>
    </rPh>
    <rPh sb="19" eb="21">
      <t>イジョウ</t>
    </rPh>
    <rPh sb="23" eb="25">
      <t>バアイ</t>
    </rPh>
    <rPh sb="31" eb="33">
      <t>シハライ</t>
    </rPh>
    <rPh sb="33" eb="35">
      <t>キンガク</t>
    </rPh>
    <rPh sb="36" eb="38">
      <t>ゴウケイ</t>
    </rPh>
    <rPh sb="38" eb="39">
      <t>ガク</t>
    </rPh>
    <rPh sb="43" eb="45">
      <t>ジョウキ</t>
    </rPh>
    <rPh sb="46" eb="47">
      <t>ヒョウ</t>
    </rPh>
    <rPh sb="48" eb="50">
      <t>テキヨウ</t>
    </rPh>
    <phoneticPr fontId="2"/>
  </si>
  <si>
    <t>○計算式</t>
    <rPh sb="1" eb="3">
      <t>ケイサン</t>
    </rPh>
    <rPh sb="3" eb="4">
      <t>シキ</t>
    </rPh>
    <phoneticPr fontId="2"/>
  </si>
  <si>
    <t>年金を受け取る方の年齢</t>
    <rPh sb="0" eb="2">
      <t>ネンキン</t>
    </rPh>
    <rPh sb="3" eb="4">
      <t>ウ</t>
    </rPh>
    <rPh sb="5" eb="6">
      <t>ト</t>
    </rPh>
    <rPh sb="7" eb="8">
      <t>カタ</t>
    </rPh>
    <rPh sb="9" eb="11">
      <t>ネンレイ</t>
    </rPh>
    <phoneticPr fontId="2"/>
  </si>
  <si>
    <t>1,300,000円以下</t>
    <rPh sb="9" eb="10">
      <t>エン</t>
    </rPh>
    <rPh sb="10" eb="12">
      <t>イカ</t>
    </rPh>
    <phoneticPr fontId="2"/>
  </si>
  <si>
    <t>公的年金等の収入金額の合計
（A）</t>
    <rPh sb="0" eb="2">
      <t>コウテキ</t>
    </rPh>
    <rPh sb="2" eb="4">
      <t>ネンキン</t>
    </rPh>
    <rPh sb="4" eb="5">
      <t>トウ</t>
    </rPh>
    <rPh sb="6" eb="8">
      <t>シュウニュウ</t>
    </rPh>
    <rPh sb="8" eb="9">
      <t>キン</t>
    </rPh>
    <rPh sb="9" eb="10">
      <t>ガク</t>
    </rPh>
    <rPh sb="11" eb="13">
      <t>ゴウケイ</t>
    </rPh>
    <phoneticPr fontId="2"/>
  </si>
  <si>
    <t>収入金額</t>
    <rPh sb="0" eb="2">
      <t>シュウニュウ</t>
    </rPh>
    <rPh sb="2" eb="4">
      <t>キンガク</t>
    </rPh>
    <phoneticPr fontId="2"/>
  </si>
  <si>
    <t>収入金額をご入力ください</t>
    <rPh sb="0" eb="2">
      <t>シュウニュウ</t>
    </rPh>
    <rPh sb="2" eb="4">
      <t>キンガク</t>
    </rPh>
    <rPh sb="6" eb="8">
      <t>ニュウリョク</t>
    </rPh>
    <phoneticPr fontId="2"/>
  </si>
  <si>
    <r>
      <t xml:space="preserve">年金所得金額
</t>
    </r>
    <r>
      <rPr>
        <sz val="11"/>
        <color rgb="FFFF0000"/>
        <rFont val="ＭＳ Ｐゴシック"/>
        <family val="3"/>
        <charset val="128"/>
        <scheme val="minor"/>
      </rPr>
      <t>※算出された数値を、「保険税試算」シートの⑤所得の欄へ入力してください</t>
    </r>
    <rPh sb="0" eb="2">
      <t>ネンキン</t>
    </rPh>
    <rPh sb="2" eb="4">
      <t>ショトク</t>
    </rPh>
    <rPh sb="4" eb="6">
      <t>キンガク</t>
    </rPh>
    <rPh sb="8" eb="10">
      <t>サンシュツ</t>
    </rPh>
    <rPh sb="13" eb="15">
      <t>スウチ</t>
    </rPh>
    <rPh sb="18" eb="20">
      <t>ホケン</t>
    </rPh>
    <rPh sb="20" eb="21">
      <t>ゼイ</t>
    </rPh>
    <rPh sb="21" eb="23">
      <t>シサン</t>
    </rPh>
    <rPh sb="29" eb="31">
      <t>ショトク</t>
    </rPh>
    <rPh sb="32" eb="33">
      <t>ラン</t>
    </rPh>
    <rPh sb="34" eb="36">
      <t>ニュウリョク</t>
    </rPh>
    <phoneticPr fontId="2"/>
  </si>
  <si>
    <t>１人あたり年間
負担額（目安）</t>
    <rPh sb="1" eb="2">
      <t>ニン</t>
    </rPh>
    <rPh sb="5" eb="7">
      <t>ネンカン</t>
    </rPh>
    <rPh sb="8" eb="10">
      <t>フタン</t>
    </rPh>
    <rPh sb="10" eb="11">
      <t>ガク</t>
    </rPh>
    <rPh sb="12" eb="14">
      <t>メヤス</t>
    </rPh>
    <phoneticPr fontId="2"/>
  </si>
  <si>
    <t>　　</t>
    <phoneticPr fontId="2"/>
  </si>
  <si>
    <t>　</t>
  </si>
  <si>
    <t>収入金額×40％-100,000円（計算金額が550,000円に満たない場合は、550,000円）</t>
    <rPh sb="0" eb="2">
      <t>シュウニュウ</t>
    </rPh>
    <rPh sb="2" eb="4">
      <t>キンガク</t>
    </rPh>
    <rPh sb="16" eb="17">
      <t>エン</t>
    </rPh>
    <rPh sb="18" eb="20">
      <t>ケイサン</t>
    </rPh>
    <rPh sb="20" eb="22">
      <t>キンガク</t>
    </rPh>
    <rPh sb="30" eb="31">
      <t>エン</t>
    </rPh>
    <rPh sb="32" eb="33">
      <t>ミ</t>
    </rPh>
    <rPh sb="36" eb="38">
      <t>バアイ</t>
    </rPh>
    <rPh sb="47" eb="48">
      <t>エン</t>
    </rPh>
    <phoneticPr fontId="2"/>
  </si>
  <si>
    <t>収入金額×30％+80,000円</t>
    <rPh sb="0" eb="2">
      <t>シュウニュウ</t>
    </rPh>
    <rPh sb="2" eb="4">
      <t>キンガク</t>
    </rPh>
    <rPh sb="15" eb="16">
      <t>エン</t>
    </rPh>
    <phoneticPr fontId="2"/>
  </si>
  <si>
    <t>収入金額×20％+440,000円</t>
    <rPh sb="0" eb="2">
      <t>シュウニュウ</t>
    </rPh>
    <rPh sb="2" eb="4">
      <t>キンガク</t>
    </rPh>
    <rPh sb="16" eb="17">
      <t>エン</t>
    </rPh>
    <phoneticPr fontId="2"/>
  </si>
  <si>
    <t>収入金額×10％+1,100,000円</t>
    <rPh sb="0" eb="2">
      <t>シュウニュウ</t>
    </rPh>
    <rPh sb="2" eb="4">
      <t>キンガク</t>
    </rPh>
    <rPh sb="18" eb="19">
      <t>エン</t>
    </rPh>
    <phoneticPr fontId="2"/>
  </si>
  <si>
    <t>1,800,000円以下</t>
    <rPh sb="9" eb="10">
      <t>エン</t>
    </rPh>
    <rPh sb="10" eb="12">
      <t>イカ</t>
    </rPh>
    <phoneticPr fontId="2"/>
  </si>
  <si>
    <t>1,800,000円超</t>
    <rPh sb="9" eb="10">
      <t>エン</t>
    </rPh>
    <rPh sb="10" eb="11">
      <t>チョウ</t>
    </rPh>
    <phoneticPr fontId="2"/>
  </si>
  <si>
    <t>3,600,000円超</t>
    <rPh sb="9" eb="10">
      <t>エン</t>
    </rPh>
    <rPh sb="10" eb="11">
      <t>チョウ</t>
    </rPh>
    <phoneticPr fontId="2"/>
  </si>
  <si>
    <t>6,600,000円超</t>
    <rPh sb="9" eb="10">
      <t>エン</t>
    </rPh>
    <rPh sb="10" eb="11">
      <t>チョウ</t>
    </rPh>
    <phoneticPr fontId="2"/>
  </si>
  <si>
    <t>3,600,000円以下</t>
    <rPh sb="9" eb="10">
      <t>エン</t>
    </rPh>
    <rPh sb="10" eb="12">
      <t>イカ</t>
    </rPh>
    <phoneticPr fontId="2"/>
  </si>
  <si>
    <t>6,600,000円以下</t>
    <rPh sb="9" eb="10">
      <t>エン</t>
    </rPh>
    <rPh sb="10" eb="12">
      <t>イカ</t>
    </rPh>
    <phoneticPr fontId="2"/>
  </si>
  <si>
    <t>8,500,000円以下</t>
    <rPh sb="9" eb="10">
      <t>エン</t>
    </rPh>
    <rPh sb="10" eb="12">
      <t>イカ</t>
    </rPh>
    <phoneticPr fontId="2"/>
  </si>
  <si>
    <t>8,5000,000円超</t>
    <rPh sb="10" eb="11">
      <t>エン</t>
    </rPh>
    <rPh sb="11" eb="12">
      <t>チョウ</t>
    </rPh>
    <phoneticPr fontId="2"/>
  </si>
  <si>
    <t>1,950,000円（上限）</t>
    <rPh sb="9" eb="10">
      <t>エン</t>
    </rPh>
    <rPh sb="11" eb="13">
      <t>ジョウゲン</t>
    </rPh>
    <phoneticPr fontId="2"/>
  </si>
  <si>
    <t>8,500,000円以下</t>
    <rPh sb="1" eb="10">
      <t>５０００００エン</t>
    </rPh>
    <rPh sb="10" eb="12">
      <t>イカ</t>
    </rPh>
    <phoneticPr fontId="2"/>
  </si>
  <si>
    <t>8,500,000円超</t>
    <rPh sb="1" eb="10">
      <t>５０００００エン</t>
    </rPh>
    <rPh sb="10" eb="11">
      <t>チョウ</t>
    </rPh>
    <phoneticPr fontId="2"/>
  </si>
  <si>
    <t>1,300,000円超</t>
    <rPh sb="9" eb="10">
      <t>エン</t>
    </rPh>
    <rPh sb="10" eb="11">
      <t>チョウ</t>
    </rPh>
    <phoneticPr fontId="2"/>
  </si>
  <si>
    <t>4,100,000円以下</t>
    <rPh sb="9" eb="10">
      <t>エン</t>
    </rPh>
    <rPh sb="10" eb="12">
      <t>イカ</t>
    </rPh>
    <phoneticPr fontId="2"/>
  </si>
  <si>
    <t>7,700,000円以下</t>
    <rPh sb="9" eb="10">
      <t>エン</t>
    </rPh>
    <rPh sb="10" eb="12">
      <t>イカ</t>
    </rPh>
    <phoneticPr fontId="2"/>
  </si>
  <si>
    <t>4,100,000円超</t>
    <rPh sb="9" eb="10">
      <t>エン</t>
    </rPh>
    <rPh sb="10" eb="11">
      <t>チョウ</t>
    </rPh>
    <phoneticPr fontId="2"/>
  </si>
  <si>
    <t>7,700,000円超</t>
    <rPh sb="9" eb="10">
      <t>エン</t>
    </rPh>
    <rPh sb="10" eb="11">
      <t>チョウ</t>
    </rPh>
    <phoneticPr fontId="2"/>
  </si>
  <si>
    <t>10,000,000円以下</t>
    <rPh sb="2" eb="11">
      <t>００００００エン</t>
    </rPh>
    <rPh sb="11" eb="13">
      <t>イカ</t>
    </rPh>
    <phoneticPr fontId="2"/>
  </si>
  <si>
    <t>10,000,000円超</t>
    <rPh sb="2" eb="11">
      <t>００００００エン</t>
    </rPh>
    <rPh sb="11" eb="12">
      <t>チョウ</t>
    </rPh>
    <phoneticPr fontId="2"/>
  </si>
  <si>
    <t>公的年金等以外の所得金額の合計額（繰越損失控除前）</t>
    <rPh sb="0" eb="2">
      <t>コウテキ</t>
    </rPh>
    <rPh sb="2" eb="5">
      <t>ネンキントウ</t>
    </rPh>
    <rPh sb="5" eb="7">
      <t>イガイ</t>
    </rPh>
    <rPh sb="8" eb="10">
      <t>ショトク</t>
    </rPh>
    <rPh sb="10" eb="12">
      <t>キンガク</t>
    </rPh>
    <rPh sb="13" eb="15">
      <t>ゴウケイ</t>
    </rPh>
    <rPh sb="15" eb="16">
      <t>ガク</t>
    </rPh>
    <rPh sb="17" eb="19">
      <t>クリコシ</t>
    </rPh>
    <rPh sb="19" eb="21">
      <t>ソンシツ</t>
    </rPh>
    <rPh sb="21" eb="23">
      <t>コウジョ</t>
    </rPh>
    <rPh sb="23" eb="24">
      <t>マエ</t>
    </rPh>
    <phoneticPr fontId="2"/>
  </si>
  <si>
    <t>（A)-600,000円</t>
    <rPh sb="11" eb="12">
      <t>エン</t>
    </rPh>
    <phoneticPr fontId="2"/>
  </si>
  <si>
    <t>（A)×75％-275,000円</t>
    <rPh sb="15" eb="16">
      <t>エン</t>
    </rPh>
    <phoneticPr fontId="2"/>
  </si>
  <si>
    <t>（A)×85％-685,000円</t>
    <rPh sb="15" eb="16">
      <t>エン</t>
    </rPh>
    <phoneticPr fontId="2"/>
  </si>
  <si>
    <t>（A)×95％-1,455,000円</t>
    <rPh sb="17" eb="18">
      <t>エン</t>
    </rPh>
    <phoneticPr fontId="2"/>
  </si>
  <si>
    <t>（A)-1,955,000円</t>
    <rPh sb="13" eb="14">
      <t>エン</t>
    </rPh>
    <phoneticPr fontId="2"/>
  </si>
  <si>
    <t>（A)-1,100,000円</t>
    <rPh sb="13" eb="14">
      <t>エン</t>
    </rPh>
    <phoneticPr fontId="2"/>
  </si>
  <si>
    <t>10,000,000円超20,000,000円以下</t>
    <rPh sb="2" eb="11">
      <t>００００００エン</t>
    </rPh>
    <rPh sb="11" eb="12">
      <t>チョウ</t>
    </rPh>
    <rPh sb="14" eb="23">
      <t>００００００エン</t>
    </rPh>
    <rPh sb="23" eb="25">
      <t>イカ</t>
    </rPh>
    <phoneticPr fontId="2"/>
  </si>
  <si>
    <t>20,000,000円超</t>
    <rPh sb="2" eb="11">
      <t>００００００エン</t>
    </rPh>
    <rPh sb="11" eb="12">
      <t>チョウ</t>
    </rPh>
    <phoneticPr fontId="2"/>
  </si>
  <si>
    <t>（A)-400,000円</t>
    <rPh sb="11" eb="12">
      <t>エン</t>
    </rPh>
    <phoneticPr fontId="2"/>
  </si>
  <si>
    <t>（A)-500,000円</t>
    <rPh sb="11" eb="12">
      <t>エン</t>
    </rPh>
    <phoneticPr fontId="2"/>
  </si>
  <si>
    <t>（A)×75％-175,000円</t>
    <rPh sb="15" eb="16">
      <t>エン</t>
    </rPh>
    <phoneticPr fontId="2"/>
  </si>
  <si>
    <t>（A)×75％-75,000円</t>
    <rPh sb="14" eb="15">
      <t>エン</t>
    </rPh>
    <phoneticPr fontId="2"/>
  </si>
  <si>
    <t>（A)×85％-585,000円</t>
    <rPh sb="15" eb="16">
      <t>エン</t>
    </rPh>
    <phoneticPr fontId="2"/>
  </si>
  <si>
    <t>（A)×85％-485,000円</t>
    <rPh sb="15" eb="16">
      <t>エン</t>
    </rPh>
    <phoneticPr fontId="2"/>
  </si>
  <si>
    <t>（A)×95％-1,255,000円</t>
    <rPh sb="17" eb="18">
      <t>エン</t>
    </rPh>
    <phoneticPr fontId="2"/>
  </si>
  <si>
    <t>（A)×95％-1,355,000円</t>
    <rPh sb="17" eb="18">
      <t>エン</t>
    </rPh>
    <phoneticPr fontId="2"/>
  </si>
  <si>
    <t>（A)-1,855,000円</t>
    <rPh sb="13" eb="14">
      <t>エン</t>
    </rPh>
    <phoneticPr fontId="2"/>
  </si>
  <si>
    <t>（A)-1,755,000円</t>
    <rPh sb="13" eb="14">
      <t>エン</t>
    </rPh>
    <phoneticPr fontId="2"/>
  </si>
  <si>
    <t>（A)-1,000,000円</t>
    <rPh sb="13" eb="14">
      <t>エン</t>
    </rPh>
    <phoneticPr fontId="2"/>
  </si>
  <si>
    <t>（A)-900,000円</t>
    <rPh sb="11" eb="12">
      <t>エン</t>
    </rPh>
    <phoneticPr fontId="2"/>
  </si>
  <si>
    <t>○自動計算ツール(1,000万以下）</t>
    <rPh sb="1" eb="3">
      <t>ジドウ</t>
    </rPh>
    <rPh sb="3" eb="5">
      <t>ケイサン</t>
    </rPh>
    <rPh sb="14" eb="15">
      <t>マン</t>
    </rPh>
    <rPh sb="15" eb="17">
      <t>イカ</t>
    </rPh>
    <phoneticPr fontId="2"/>
  </si>
  <si>
    <t>○自動計算ツール(1,000万超2,000万以下）</t>
    <rPh sb="1" eb="3">
      <t>ジドウ</t>
    </rPh>
    <rPh sb="3" eb="5">
      <t>ケイサン</t>
    </rPh>
    <rPh sb="14" eb="15">
      <t>マン</t>
    </rPh>
    <rPh sb="15" eb="16">
      <t>チョウ</t>
    </rPh>
    <rPh sb="21" eb="22">
      <t>マン</t>
    </rPh>
    <rPh sb="22" eb="24">
      <t>イカ</t>
    </rPh>
    <phoneticPr fontId="2"/>
  </si>
  <si>
    <t>○自動計算ツール2,000万超）</t>
    <rPh sb="1" eb="3">
      <t>ジドウ</t>
    </rPh>
    <rPh sb="3" eb="5">
      <t>ケイサン</t>
    </rPh>
    <rPh sb="13" eb="14">
      <t>マン</t>
    </rPh>
    <rPh sb="14" eb="15">
      <t>チョウ</t>
    </rPh>
    <phoneticPr fontId="2"/>
  </si>
  <si>
    <t>＋</t>
    <phoneticPr fontId="2"/>
  </si>
  <si>
    <t>⑦</t>
    <phoneticPr fontId="2"/>
  </si>
  <si>
    <t>給与所得者等</t>
    <rPh sb="0" eb="2">
      <t>キュウヨ</t>
    </rPh>
    <rPh sb="2" eb="4">
      <t>ショトク</t>
    </rPh>
    <rPh sb="4" eb="5">
      <t>シャ</t>
    </rPh>
    <rPh sb="5" eb="6">
      <t>トウ</t>
    </rPh>
    <phoneticPr fontId="2"/>
  </si>
  <si>
    <t>未就学児
該当者</t>
    <rPh sb="0" eb="4">
      <t>ミシュウガクジ</t>
    </rPh>
    <rPh sb="5" eb="8">
      <t>ガイトウシャ</t>
    </rPh>
    <phoneticPr fontId="2"/>
  </si>
  <si>
    <t>未就学児軽減額</t>
    <rPh sb="0" eb="4">
      <t>ミシュウガクジ</t>
    </rPh>
    <rPh sb="4" eb="6">
      <t>ケイゲン</t>
    </rPh>
    <rPh sb="6" eb="7">
      <t>ガク</t>
    </rPh>
    <phoneticPr fontId="2"/>
  </si>
  <si>
    <t>⑧</t>
    <phoneticPr fontId="2"/>
  </si>
  <si>
    <t>3,300,000円超</t>
    <rPh sb="9" eb="10">
      <t>エン</t>
    </rPh>
    <rPh sb="10" eb="11">
      <t>チョウ</t>
    </rPh>
    <phoneticPr fontId="2"/>
  </si>
  <si>
    <t>3,300,000円以下</t>
    <rPh sb="9" eb="10">
      <t>エン</t>
    </rPh>
    <rPh sb="10" eb="12">
      <t>イカ</t>
    </rPh>
    <phoneticPr fontId="2"/>
  </si>
  <si>
    <t>令和７年度国保加入期間：２０２５年４月～２０２６年３月</t>
    <rPh sb="0" eb="2">
      <t>レイワ</t>
    </rPh>
    <rPh sb="3" eb="5">
      <t>ネンド</t>
    </rPh>
    <rPh sb="5" eb="7">
      <t>コクホ</t>
    </rPh>
    <rPh sb="7" eb="9">
      <t>カニュウ</t>
    </rPh>
    <rPh sb="9" eb="11">
      <t>キカン</t>
    </rPh>
    <rPh sb="16" eb="17">
      <t>ネン</t>
    </rPh>
    <rPh sb="18" eb="19">
      <t>ガツ</t>
    </rPh>
    <rPh sb="24" eb="25">
      <t>ネン</t>
    </rPh>
    <rPh sb="26" eb="27">
      <t>ガツ</t>
    </rPh>
    <phoneticPr fontId="2"/>
  </si>
  <si>
    <r>
      <rPr>
        <b/>
        <sz val="22"/>
        <color theme="1"/>
        <rFont val="ＭＳ Ｐゴシック"/>
        <family val="3"/>
        <charset val="128"/>
        <scheme val="minor"/>
      </rPr>
      <t>○太枠内入力時の注意事項</t>
    </r>
    <r>
      <rPr>
        <sz val="22"/>
        <color theme="1"/>
        <rFont val="ＭＳ Ｐゴシック"/>
        <family val="3"/>
        <charset val="128"/>
        <scheme val="minor"/>
      </rPr>
      <t xml:space="preserve">
①　国保加入者（加入予定者）のお名前を入力してください。</t>
    </r>
    <r>
      <rPr>
        <sz val="22"/>
        <color rgb="FFFF0000"/>
        <rFont val="ＭＳ Ｐゴシック"/>
        <family val="3"/>
        <charset val="128"/>
        <scheme val="minor"/>
      </rPr>
      <t>世帯主の方のお名前は必ず入力してください。</t>
    </r>
    <r>
      <rPr>
        <sz val="22"/>
        <color theme="1"/>
        <rFont val="ＭＳ Ｐゴシック"/>
        <family val="3"/>
        <charset val="128"/>
        <scheme val="minor"/>
      </rPr>
      <t xml:space="preserve">
②　世帯主の方が国保以外の社会保険等へ加入している場合は、</t>
    </r>
    <r>
      <rPr>
        <sz val="22"/>
        <color rgb="FFFF0000"/>
        <rFont val="ＭＳ Ｐゴシック"/>
        <family val="3"/>
        <charset val="128"/>
        <scheme val="minor"/>
      </rPr>
      <t>「擬制世帯主」の欄に○を入力してください。擬制世帯主の方は、③、④の入力は不要です。</t>
    </r>
    <r>
      <rPr>
        <sz val="22"/>
        <color theme="1"/>
        <rFont val="ＭＳ Ｐゴシック"/>
        <family val="3"/>
        <charset val="128"/>
        <scheme val="minor"/>
      </rPr>
      <t xml:space="preserve">
③　「加入」欄へ○を入力し、</t>
    </r>
    <r>
      <rPr>
        <sz val="22"/>
        <color rgb="FFFF0000"/>
        <rFont val="ＭＳ Ｐゴシック"/>
        <family val="3"/>
        <charset val="128"/>
        <scheme val="minor"/>
      </rPr>
      <t>加入期間内における、資格取得月から脱退予定月の前月までの加入月数を入力</t>
    </r>
    <r>
      <rPr>
        <sz val="22"/>
        <color theme="1"/>
        <rFont val="ＭＳ Ｐゴシック"/>
        <family val="3"/>
        <charset val="128"/>
        <scheme val="minor"/>
      </rPr>
      <t>してください。
（例１）　2025年4月に転入し、2026年3月以降も国保加入予定→加入月数「12」（2025.4-2026.3）
（例２）　2025年4月に社会保険から国保へ切り替えた後、2026年3月に社会保険へ再度加入する予定→加入月数「11」（2025.4-2026.2）
（例３）　2025年7月に転入し、2025年12月に転出する予定→加入月数「5」（2025.7-2025.11）
④　国保加入者のうち、</t>
    </r>
    <r>
      <rPr>
        <sz val="22"/>
        <color rgb="FFFF0000"/>
        <rFont val="ＭＳ Ｐゴシック"/>
        <family val="3"/>
        <charset val="128"/>
        <scheme val="minor"/>
      </rPr>
      <t>加入期間中に40歳以上65歳未満である方は、「40-64歳該当者」欄へ○を入力し、当該年齢に該当する月数を「該当月数」へ入力</t>
    </r>
    <r>
      <rPr>
        <sz val="22"/>
        <color theme="1"/>
        <rFont val="ＭＳ Ｐゴシック"/>
        <family val="3"/>
        <charset val="128"/>
        <scheme val="minor"/>
      </rPr>
      <t>してください。
（例１）　加入期間中、40歳から64歳に該当している→該当月数「12」（2025.4-2026.3）
（例２）　2025年6月に40歳の誕生日を迎えた→該当月数「10」（2025.6-2026.3）
（例３）　2026年1月に65歳の誕生日を迎えた→該当月数「9」（2025.4-2025.12）
⑤　</t>
    </r>
    <r>
      <rPr>
        <sz val="22"/>
        <color rgb="FFFF0000"/>
        <rFont val="ＭＳ Ｐゴシック"/>
        <family val="3"/>
        <charset val="128"/>
        <scheme val="minor"/>
      </rPr>
      <t>各加入者の2024年中の所得金額を入力</t>
    </r>
    <r>
      <rPr>
        <sz val="22"/>
        <color theme="1"/>
        <rFont val="ＭＳ Ｐゴシック"/>
        <family val="3"/>
        <charset val="128"/>
        <scheme val="minor"/>
      </rPr>
      <t>してください</t>
    </r>
    <r>
      <rPr>
        <sz val="22"/>
        <color rgb="FFFF0000"/>
        <rFont val="ＭＳ Ｐゴシック"/>
        <family val="3"/>
        <charset val="128"/>
        <scheme val="minor"/>
      </rPr>
      <t>（令和6年分源泉徴収票の「給与（年金）所得控除後の金額」または事業収入から必要経費を差し引いた金額）。給与・年金等の収入（支払）しかわからない方は、「給与所得速算表」、「年金所得速算表」をご活用ください。
※詳しくは、国税庁のホームページをご確認ください。</t>
    </r>
    <r>
      <rPr>
        <sz val="22"/>
        <color theme="1"/>
        <rFont val="ＭＳ Ｐゴシック"/>
        <family val="3"/>
        <charset val="128"/>
        <scheme val="minor"/>
      </rPr>
      <t xml:space="preserve">
⑥　2024年中に得られた所得のうち、</t>
    </r>
    <r>
      <rPr>
        <sz val="22"/>
        <color rgb="FFFF0000"/>
        <rFont val="ＭＳ Ｐゴシック"/>
        <family val="3"/>
        <charset val="128"/>
        <scheme val="minor"/>
      </rPr>
      <t>年金所得があり昭和35年1月1日以前生まれの方は、「年金」欄へ○を入力</t>
    </r>
    <r>
      <rPr>
        <sz val="22"/>
        <color theme="1"/>
        <rFont val="ＭＳ Ｐゴシック"/>
        <family val="3"/>
        <charset val="128"/>
        <scheme val="minor"/>
      </rPr>
      <t>してください。
⑦  所得のうち、給与所得がある方は○を入力してください。
⑧　国保加入者のうち、未就学児（平成31年4月2日以降に出生された方）がいる場合は○を入力してください。</t>
    </r>
    <rPh sb="1" eb="3">
      <t>フトワク</t>
    </rPh>
    <rPh sb="3" eb="4">
      <t>ウチ</t>
    </rPh>
    <rPh sb="4" eb="7">
      <t>ニュウリョクジ</t>
    </rPh>
    <rPh sb="8" eb="10">
      <t>チュウイ</t>
    </rPh>
    <rPh sb="10" eb="12">
      <t>ジコウ</t>
    </rPh>
    <rPh sb="15" eb="17">
      <t>コクホ</t>
    </rPh>
    <rPh sb="17" eb="19">
      <t>カニュウ</t>
    </rPh>
    <rPh sb="19" eb="20">
      <t>シャ</t>
    </rPh>
    <rPh sb="21" eb="23">
      <t>カニュウ</t>
    </rPh>
    <rPh sb="23" eb="25">
      <t>ヨテイ</t>
    </rPh>
    <rPh sb="25" eb="26">
      <t>シャ</t>
    </rPh>
    <rPh sb="29" eb="31">
      <t>ナマエ</t>
    </rPh>
    <rPh sb="32" eb="34">
      <t>ニュウリョク</t>
    </rPh>
    <rPh sb="41" eb="43">
      <t>セタイ</t>
    </rPh>
    <rPh sb="43" eb="44">
      <t>ヌシ</t>
    </rPh>
    <rPh sb="45" eb="46">
      <t>カタ</t>
    </rPh>
    <rPh sb="48" eb="50">
      <t>ナマエ</t>
    </rPh>
    <rPh sb="51" eb="52">
      <t>カナラ</t>
    </rPh>
    <rPh sb="53" eb="55">
      <t>ニュウリョク</t>
    </rPh>
    <rPh sb="65" eb="68">
      <t>セタイヌシ</t>
    </rPh>
    <rPh sb="69" eb="70">
      <t>カタ</t>
    </rPh>
    <rPh sb="71" eb="73">
      <t>コクホ</t>
    </rPh>
    <rPh sb="73" eb="75">
      <t>イガイ</t>
    </rPh>
    <rPh sb="76" eb="78">
      <t>シャカイ</t>
    </rPh>
    <rPh sb="78" eb="81">
      <t>ホケントウ</t>
    </rPh>
    <rPh sb="82" eb="84">
      <t>カニュウ</t>
    </rPh>
    <rPh sb="88" eb="90">
      <t>バアイ</t>
    </rPh>
    <rPh sb="93" eb="95">
      <t>ギセイ</t>
    </rPh>
    <rPh sb="95" eb="98">
      <t>セタイヌシ</t>
    </rPh>
    <rPh sb="100" eb="101">
      <t>ラン</t>
    </rPh>
    <rPh sb="104" eb="106">
      <t>ニュウリョク</t>
    </rPh>
    <rPh sb="113" eb="115">
      <t>ギセイ</t>
    </rPh>
    <rPh sb="115" eb="118">
      <t>セタイヌシ</t>
    </rPh>
    <rPh sb="119" eb="120">
      <t>カタ</t>
    </rPh>
    <rPh sb="126" eb="128">
      <t>ニュウリョク</t>
    </rPh>
    <rPh sb="129" eb="131">
      <t>フヨウ</t>
    </rPh>
    <rPh sb="141" eb="142">
      <t>ラン</t>
    </rPh>
    <rPh sb="145" eb="147">
      <t>ニュウリョク</t>
    </rPh>
    <rPh sb="149" eb="151">
      <t>カニュウ</t>
    </rPh>
    <rPh sb="151" eb="153">
      <t>キカン</t>
    </rPh>
    <rPh sb="153" eb="154">
      <t>ナイ</t>
    </rPh>
    <rPh sb="159" eb="161">
      <t>シカク</t>
    </rPh>
    <rPh sb="161" eb="163">
      <t>シュトク</t>
    </rPh>
    <rPh sb="163" eb="164">
      <t>ツキ</t>
    </rPh>
    <rPh sb="166" eb="168">
      <t>ダッタイ</t>
    </rPh>
    <rPh sb="168" eb="170">
      <t>ヨテイ</t>
    </rPh>
    <rPh sb="170" eb="171">
      <t>ツキ</t>
    </rPh>
    <rPh sb="172" eb="174">
      <t>ゼンゲツ</t>
    </rPh>
    <rPh sb="177" eb="179">
      <t>カニュウ</t>
    </rPh>
    <rPh sb="179" eb="181">
      <t>ツキスウ</t>
    </rPh>
    <rPh sb="182" eb="184">
      <t>ニュウリョク</t>
    </rPh>
    <rPh sb="193" eb="194">
      <t>レイ</t>
    </rPh>
    <rPh sb="201" eb="202">
      <t>ネン</t>
    </rPh>
    <rPh sb="203" eb="204">
      <t>ガツ</t>
    </rPh>
    <rPh sb="205" eb="207">
      <t>テンニュウ</t>
    </rPh>
    <rPh sb="213" eb="214">
      <t>ネン</t>
    </rPh>
    <rPh sb="215" eb="216">
      <t>ガツ</t>
    </rPh>
    <rPh sb="216" eb="218">
      <t>イコウ</t>
    </rPh>
    <rPh sb="219" eb="221">
      <t>コクホ</t>
    </rPh>
    <rPh sb="221" eb="223">
      <t>カニュウ</t>
    </rPh>
    <rPh sb="223" eb="225">
      <t>ヨテイ</t>
    </rPh>
    <rPh sb="226" eb="228">
      <t>カニュウ</t>
    </rPh>
    <rPh sb="228" eb="230">
      <t>ツキスウ</t>
    </rPh>
    <rPh sb="251" eb="252">
      <t>レイ</t>
    </rPh>
    <rPh sb="259" eb="260">
      <t>ネン</t>
    </rPh>
    <rPh sb="261" eb="262">
      <t>ガツ</t>
    </rPh>
    <rPh sb="263" eb="265">
      <t>シャカイ</t>
    </rPh>
    <rPh sb="265" eb="267">
      <t>ホケン</t>
    </rPh>
    <rPh sb="269" eb="271">
      <t>コクホ</t>
    </rPh>
    <rPh sb="272" eb="273">
      <t>キ</t>
    </rPh>
    <rPh sb="274" eb="275">
      <t>カ</t>
    </rPh>
    <rPh sb="277" eb="278">
      <t>ノチ</t>
    </rPh>
    <rPh sb="283" eb="284">
      <t>ネン</t>
    </rPh>
    <rPh sb="285" eb="286">
      <t>ガツ</t>
    </rPh>
    <rPh sb="287" eb="289">
      <t>シャカイ</t>
    </rPh>
    <rPh sb="289" eb="291">
      <t>ホケン</t>
    </rPh>
    <rPh sb="292" eb="294">
      <t>サイド</t>
    </rPh>
    <rPh sb="294" eb="296">
      <t>カニュウ</t>
    </rPh>
    <rPh sb="298" eb="300">
      <t>ヨテイ</t>
    </rPh>
    <rPh sb="301" eb="303">
      <t>カニュウ</t>
    </rPh>
    <rPh sb="303" eb="305">
      <t>ツキスウ</t>
    </rPh>
    <rPh sb="326" eb="327">
      <t>レイ</t>
    </rPh>
    <rPh sb="334" eb="335">
      <t>ネン</t>
    </rPh>
    <rPh sb="336" eb="337">
      <t>ガツ</t>
    </rPh>
    <rPh sb="338" eb="340">
      <t>テンニュウ</t>
    </rPh>
    <rPh sb="346" eb="347">
      <t>ネン</t>
    </rPh>
    <rPh sb="349" eb="350">
      <t>ガツ</t>
    </rPh>
    <rPh sb="351" eb="353">
      <t>テンシュツ</t>
    </rPh>
    <rPh sb="355" eb="357">
      <t>ヨテイ</t>
    </rPh>
    <rPh sb="358" eb="360">
      <t>カニュウ</t>
    </rPh>
    <rPh sb="360" eb="362">
      <t>ツキスウ</t>
    </rPh>
    <rPh sb="384" eb="386">
      <t>コクホ</t>
    </rPh>
    <rPh sb="386" eb="388">
      <t>カニュウ</t>
    </rPh>
    <rPh sb="388" eb="389">
      <t>モノ</t>
    </rPh>
    <rPh sb="393" eb="395">
      <t>カニュウ</t>
    </rPh>
    <rPh sb="395" eb="398">
      <t>キカンチュウ</t>
    </rPh>
    <rPh sb="401" eb="402">
      <t>サイ</t>
    </rPh>
    <rPh sb="402" eb="404">
      <t>イジョウ</t>
    </rPh>
    <rPh sb="406" eb="407">
      <t>サイ</t>
    </rPh>
    <rPh sb="407" eb="409">
      <t>ミマン</t>
    </rPh>
    <rPh sb="412" eb="413">
      <t>カタ</t>
    </rPh>
    <rPh sb="421" eb="422">
      <t>サイ</t>
    </rPh>
    <rPh sb="422" eb="425">
      <t>ガイトウシャ</t>
    </rPh>
    <rPh sb="426" eb="427">
      <t>ラン</t>
    </rPh>
    <rPh sb="430" eb="432">
      <t>ニュウリョク</t>
    </rPh>
    <rPh sb="434" eb="436">
      <t>トウガイ</t>
    </rPh>
    <rPh sb="436" eb="438">
      <t>ネンレイ</t>
    </rPh>
    <rPh sb="439" eb="441">
      <t>ガイトウ</t>
    </rPh>
    <rPh sb="443" eb="445">
      <t>ツキスウ</t>
    </rPh>
    <rPh sb="447" eb="449">
      <t>ガイトウ</t>
    </rPh>
    <rPh sb="449" eb="451">
      <t>ツキスウ</t>
    </rPh>
    <rPh sb="453" eb="455">
      <t>ニュウリョク</t>
    </rPh>
    <rPh sb="464" eb="465">
      <t>レイ</t>
    </rPh>
    <rPh sb="468" eb="470">
      <t>カニュウ</t>
    </rPh>
    <rPh sb="470" eb="473">
      <t>キカンチュウ</t>
    </rPh>
    <rPh sb="476" eb="477">
      <t>サイ</t>
    </rPh>
    <rPh sb="481" eb="482">
      <t>サイ</t>
    </rPh>
    <rPh sb="483" eb="485">
      <t>ガイトウ</t>
    </rPh>
    <rPh sb="490" eb="492">
      <t>ガイトウ</t>
    </rPh>
    <rPh sb="492" eb="494">
      <t>ツキスウ</t>
    </rPh>
    <rPh sb="515" eb="516">
      <t>レイ</t>
    </rPh>
    <rPh sb="523" eb="524">
      <t>ネン</t>
    </rPh>
    <rPh sb="525" eb="526">
      <t>ガツ</t>
    </rPh>
    <rPh sb="529" eb="530">
      <t>サイ</t>
    </rPh>
    <rPh sb="531" eb="534">
      <t>タンジョウビ</t>
    </rPh>
    <rPh sb="535" eb="536">
      <t>ムカ</t>
    </rPh>
    <rPh sb="539" eb="541">
      <t>ガイトウ</t>
    </rPh>
    <rPh sb="541" eb="543">
      <t>ツキスウ</t>
    </rPh>
    <rPh sb="564" eb="565">
      <t>レイ</t>
    </rPh>
    <rPh sb="572" eb="573">
      <t>ネン</t>
    </rPh>
    <rPh sb="574" eb="575">
      <t>ガツ</t>
    </rPh>
    <rPh sb="578" eb="579">
      <t>サイ</t>
    </rPh>
    <rPh sb="580" eb="583">
      <t>タンジョウビ</t>
    </rPh>
    <rPh sb="584" eb="585">
      <t>ムカ</t>
    </rPh>
    <rPh sb="588" eb="590">
      <t>ガイトウ</t>
    </rPh>
    <rPh sb="590" eb="592">
      <t>ツキスウ</t>
    </rPh>
    <rPh sb="614" eb="615">
      <t>カク</t>
    </rPh>
    <rPh sb="615" eb="618">
      <t>カニュウシャ</t>
    </rPh>
    <rPh sb="623" eb="625">
      <t>ネンチュウ</t>
    </rPh>
    <rPh sb="626" eb="628">
      <t>ショトク</t>
    </rPh>
    <rPh sb="628" eb="630">
      <t>キンガク</t>
    </rPh>
    <rPh sb="631" eb="633">
      <t>ニュウリョク</t>
    </rPh>
    <rPh sb="640" eb="642">
      <t>レイワ</t>
    </rPh>
    <rPh sb="643" eb="644">
      <t>ネン</t>
    </rPh>
    <rPh sb="644" eb="645">
      <t>ブン</t>
    </rPh>
    <rPh sb="645" eb="647">
      <t>ゲンセン</t>
    </rPh>
    <rPh sb="647" eb="649">
      <t>チョウシュウ</t>
    </rPh>
    <rPh sb="649" eb="650">
      <t>ヒョウ</t>
    </rPh>
    <rPh sb="652" eb="654">
      <t>キュウヨ</t>
    </rPh>
    <rPh sb="655" eb="657">
      <t>ネンキン</t>
    </rPh>
    <rPh sb="658" eb="660">
      <t>ショトク</t>
    </rPh>
    <rPh sb="660" eb="662">
      <t>コウジョ</t>
    </rPh>
    <rPh sb="662" eb="663">
      <t>ゴ</t>
    </rPh>
    <rPh sb="664" eb="666">
      <t>キンガク</t>
    </rPh>
    <rPh sb="670" eb="672">
      <t>ジギョウ</t>
    </rPh>
    <rPh sb="672" eb="674">
      <t>シュウニュウ</t>
    </rPh>
    <rPh sb="676" eb="678">
      <t>ヒツヨウ</t>
    </rPh>
    <rPh sb="678" eb="680">
      <t>ケイヒ</t>
    </rPh>
    <rPh sb="681" eb="682">
      <t>サ</t>
    </rPh>
    <rPh sb="683" eb="684">
      <t>ヒ</t>
    </rPh>
    <rPh sb="686" eb="688">
      <t>キンガク</t>
    </rPh>
    <rPh sb="697" eb="699">
      <t>シュウニュウ</t>
    </rPh>
    <rPh sb="700" eb="702">
      <t>シハライ</t>
    </rPh>
    <rPh sb="710" eb="711">
      <t>カタ</t>
    </rPh>
    <rPh sb="714" eb="716">
      <t>キュウヨ</t>
    </rPh>
    <rPh sb="716" eb="718">
      <t>ショトク</t>
    </rPh>
    <rPh sb="718" eb="720">
      <t>ソクサン</t>
    </rPh>
    <rPh sb="720" eb="721">
      <t>ヒョウ</t>
    </rPh>
    <rPh sb="724" eb="726">
      <t>ネンキン</t>
    </rPh>
    <rPh sb="726" eb="728">
      <t>ショトク</t>
    </rPh>
    <rPh sb="728" eb="730">
      <t>ソクサン</t>
    </rPh>
    <rPh sb="730" eb="731">
      <t>ヒョウ</t>
    </rPh>
    <rPh sb="734" eb="736">
      <t>カツヨウ</t>
    </rPh>
    <rPh sb="743" eb="744">
      <t>クワ</t>
    </rPh>
    <rPh sb="748" eb="751">
      <t>コクゼイチョウ</t>
    </rPh>
    <rPh sb="760" eb="762">
      <t>カクニン</t>
    </rPh>
    <rPh sb="774" eb="775">
      <t>ネン</t>
    </rPh>
    <rPh sb="775" eb="776">
      <t>チュウ</t>
    </rPh>
    <rPh sb="777" eb="778">
      <t>エ</t>
    </rPh>
    <rPh sb="781" eb="783">
      <t>ショトク</t>
    </rPh>
    <rPh sb="787" eb="789">
      <t>ネンキン</t>
    </rPh>
    <rPh sb="789" eb="791">
      <t>ショトク</t>
    </rPh>
    <rPh sb="794" eb="796">
      <t>ショウワ</t>
    </rPh>
    <rPh sb="798" eb="799">
      <t>ネン</t>
    </rPh>
    <rPh sb="800" eb="801">
      <t>ガツ</t>
    </rPh>
    <rPh sb="802" eb="803">
      <t>ニチ</t>
    </rPh>
    <rPh sb="803" eb="805">
      <t>イゼン</t>
    </rPh>
    <rPh sb="805" eb="806">
      <t>ウ</t>
    </rPh>
    <rPh sb="809" eb="810">
      <t>カタ</t>
    </rPh>
    <rPh sb="813" eb="815">
      <t>ネンキン</t>
    </rPh>
    <rPh sb="816" eb="817">
      <t>ラン</t>
    </rPh>
    <rPh sb="820" eb="822">
      <t>ニュウリョク</t>
    </rPh>
    <rPh sb="833" eb="835">
      <t>ショトク</t>
    </rPh>
    <rPh sb="839" eb="841">
      <t>キュウヨ</t>
    </rPh>
    <rPh sb="841" eb="843">
      <t>ショトク</t>
    </rPh>
    <rPh sb="846" eb="847">
      <t>カタ</t>
    </rPh>
    <rPh sb="850" eb="852">
      <t>ニュウリョク</t>
    </rPh>
    <rPh sb="862" eb="864">
      <t>コクホ</t>
    </rPh>
    <rPh sb="864" eb="867">
      <t>カニュウシャ</t>
    </rPh>
    <rPh sb="871" eb="875">
      <t>ミシュウガクジ</t>
    </rPh>
    <rPh sb="876" eb="878">
      <t>ヘイセイ</t>
    </rPh>
    <rPh sb="880" eb="881">
      <t>ネン</t>
    </rPh>
    <rPh sb="882" eb="883">
      <t>ガツ</t>
    </rPh>
    <rPh sb="884" eb="885">
      <t>ニチ</t>
    </rPh>
    <rPh sb="885" eb="887">
      <t>イコウ</t>
    </rPh>
    <rPh sb="888" eb="890">
      <t>シュッショウ</t>
    </rPh>
    <rPh sb="893" eb="894">
      <t>カタ</t>
    </rPh>
    <rPh sb="898" eb="900">
      <t>バアイ</t>
    </rPh>
    <rPh sb="903" eb="905">
      <t>ニュウリョク</t>
    </rPh>
    <phoneticPr fontId="2"/>
  </si>
  <si>
    <t>令和7年度国民健康保険税の所得割税率など
（左から医療分・後期高齢者支援分・介護分）</t>
    <rPh sb="0" eb="2">
      <t>レイワ</t>
    </rPh>
    <rPh sb="3" eb="5">
      <t>ネンド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ショトク</t>
    </rPh>
    <rPh sb="15" eb="16">
      <t>ワリ</t>
    </rPh>
    <rPh sb="16" eb="18">
      <t>ゼイリツ</t>
    </rPh>
    <rPh sb="22" eb="23">
      <t>ヒダリ</t>
    </rPh>
    <rPh sb="25" eb="27">
      <t>イリョウ</t>
    </rPh>
    <rPh sb="27" eb="28">
      <t>ブン</t>
    </rPh>
    <rPh sb="29" eb="31">
      <t>コウキ</t>
    </rPh>
    <rPh sb="31" eb="34">
      <t>コウレイシャ</t>
    </rPh>
    <rPh sb="34" eb="36">
      <t>シエン</t>
    </rPh>
    <rPh sb="36" eb="37">
      <t>ブン</t>
    </rPh>
    <rPh sb="38" eb="40">
      <t>カイゴ</t>
    </rPh>
    <rPh sb="40" eb="41">
      <t>ブン</t>
    </rPh>
    <phoneticPr fontId="2"/>
  </si>
  <si>
    <t>６５歳未満
（昭和３5年１月２日以後に生まれた方）</t>
    <rPh sb="2" eb="5">
      <t>サイミマン</t>
    </rPh>
    <rPh sb="7" eb="9">
      <t>ショウワ</t>
    </rPh>
    <rPh sb="11" eb="12">
      <t>ネン</t>
    </rPh>
    <rPh sb="13" eb="14">
      <t>ガツ</t>
    </rPh>
    <rPh sb="15" eb="16">
      <t>ニチ</t>
    </rPh>
    <rPh sb="19" eb="20">
      <t>ウ</t>
    </rPh>
    <rPh sb="23" eb="24">
      <t>カタ</t>
    </rPh>
    <phoneticPr fontId="2"/>
  </si>
  <si>
    <t>６５歳以上
（昭和３5年１月１日以前に生まれた方）</t>
    <rPh sb="2" eb="5">
      <t>サイイジョウ</t>
    </rPh>
    <rPh sb="7" eb="9">
      <t>ショウワ</t>
    </rPh>
    <rPh sb="11" eb="12">
      <t>ネン</t>
    </rPh>
    <rPh sb="13" eb="14">
      <t>ガツ</t>
    </rPh>
    <rPh sb="15" eb="16">
      <t>ニチ</t>
    </rPh>
    <rPh sb="16" eb="18">
      <t>イゼン</t>
    </rPh>
    <rPh sb="19" eb="20">
      <t>ウ</t>
    </rPh>
    <rPh sb="23" eb="24">
      <t>カタ</t>
    </rPh>
    <phoneticPr fontId="2"/>
  </si>
  <si>
    <t>６５歳未満
（昭和３5年１月２日以後に生まれた方）</t>
    <rPh sb="2" eb="5">
      <t>サイミマン</t>
    </rPh>
    <rPh sb="11" eb="12">
      <t>ネン</t>
    </rPh>
    <rPh sb="13" eb="14">
      <t>ガツ</t>
    </rPh>
    <rPh sb="15" eb="16">
      <t>ニチ</t>
    </rPh>
    <rPh sb="19" eb="20">
      <t>ウ</t>
    </rPh>
    <rPh sb="23" eb="24">
      <t>カタ</t>
    </rPh>
    <phoneticPr fontId="2"/>
  </si>
  <si>
    <t>６５歳以上
（昭和３5年１月１日以前に生まれた方）</t>
    <rPh sb="2" eb="5">
      <t>サイイジョウ</t>
    </rPh>
    <rPh sb="11" eb="12">
      <t>ネン</t>
    </rPh>
    <rPh sb="13" eb="14">
      <t>ガツ</t>
    </rPh>
    <rPh sb="15" eb="16">
      <t>ニチ</t>
    </rPh>
    <rPh sb="16" eb="18">
      <t>イゼン</t>
    </rPh>
    <rPh sb="19" eb="20">
      <t>ウ</t>
    </rPh>
    <rPh sb="23" eb="24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</si>
</sst>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7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2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A6DE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1EF9B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4" fillId="0" borderId="0" xfId="1" applyFont="1" applyFill="1">
      <alignment vertical="center"/>
    </xf>
    <xf numFmtId="38" fontId="4" fillId="0" borderId="11" xfId="1" applyFont="1" applyBorder="1">
      <alignment vertical="center"/>
    </xf>
    <xf numFmtId="38" fontId="12" fillId="0" borderId="0" xfId="1" applyFont="1">
      <alignment vertical="center"/>
    </xf>
    <xf numFmtId="38" fontId="12" fillId="0" borderId="0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4" fillId="6" borderId="1" xfId="1" applyFont="1" applyFill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24" fillId="0" borderId="0" xfId="1" applyFont="1">
      <alignment vertical="center"/>
    </xf>
    <xf numFmtId="38" fontId="25" fillId="0" borderId="0" xfId="1" applyFont="1">
      <alignment vertical="center"/>
    </xf>
    <xf numFmtId="38" fontId="25" fillId="0" borderId="0" xfId="1" applyFont="1" applyAlignment="1">
      <alignment vertical="center"/>
    </xf>
    <xf numFmtId="38" fontId="25" fillId="0" borderId="0" xfId="1" applyFont="1" applyBorder="1" applyAlignment="1">
      <alignment vertical="center"/>
    </xf>
    <xf numFmtId="38" fontId="25" fillId="0" borderId="0" xfId="1" applyFont="1" applyBorder="1">
      <alignment vertical="center"/>
    </xf>
    <xf numFmtId="0" fontId="27" fillId="0" borderId="0" xfId="0" applyFont="1">
      <alignment vertical="center"/>
    </xf>
    <xf numFmtId="38" fontId="8" fillId="0" borderId="0" xfId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 wrapText="1"/>
    </xf>
    <xf numFmtId="38" fontId="12" fillId="5" borderId="1" xfId="1" applyFont="1" applyFill="1" applyBorder="1" applyAlignment="1">
      <alignment horizontal="center" vertical="center"/>
    </xf>
    <xf numFmtId="38" fontId="24" fillId="0" borderId="0" xfId="1" applyFont="1" applyBorder="1" applyAlignment="1">
      <alignment horizontal="center" vertical="center"/>
    </xf>
    <xf numFmtId="38" fontId="25" fillId="0" borderId="0" xfId="1" applyFont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0" xfId="1" applyFont="1">
      <alignment vertical="center"/>
    </xf>
    <xf numFmtId="38" fontId="10" fillId="0" borderId="0" xfId="1" applyFont="1" applyBorder="1" applyAlignment="1">
      <alignment horizontal="center" vertical="center"/>
    </xf>
    <xf numFmtId="38" fontId="23" fillId="2" borderId="0" xfId="1" applyFont="1" applyFill="1" applyBorder="1" applyAlignment="1">
      <alignment horizontal="center" vertical="center"/>
    </xf>
    <xf numFmtId="38" fontId="23" fillId="4" borderId="0" xfId="1" applyFont="1" applyFill="1" applyBorder="1" applyAlignment="1">
      <alignment horizontal="center" vertical="center"/>
    </xf>
    <xf numFmtId="38" fontId="23" fillId="5" borderId="0" xfId="1" applyFont="1" applyFill="1" applyBorder="1" applyAlignment="1">
      <alignment horizontal="center" vertical="center"/>
    </xf>
    <xf numFmtId="38" fontId="22" fillId="6" borderId="1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8" fontId="30" fillId="0" borderId="0" xfId="1" applyFont="1" applyBorder="1" applyAlignment="1">
      <alignment vertical="top"/>
    </xf>
    <xf numFmtId="38" fontId="39" fillId="0" borderId="0" xfId="1" applyFont="1" applyBorder="1" applyAlignment="1">
      <alignment vertical="center"/>
    </xf>
    <xf numFmtId="38" fontId="12" fillId="5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38" fontId="30" fillId="0" borderId="0" xfId="1" applyFont="1" applyBorder="1" applyAlignment="1">
      <alignment vertical="top" wrapText="1"/>
    </xf>
    <xf numFmtId="38" fontId="4" fillId="0" borderId="0" xfId="1" applyFont="1" applyAlignment="1">
      <alignment vertical="center"/>
    </xf>
    <xf numFmtId="38" fontId="40" fillId="0" borderId="0" xfId="1" applyFont="1" applyAlignment="1">
      <alignment horizontal="center" vertical="center"/>
    </xf>
    <xf numFmtId="38" fontId="39" fillId="0" borderId="0" xfId="1" applyFont="1">
      <alignment vertical="center"/>
    </xf>
    <xf numFmtId="38" fontId="25" fillId="0" borderId="1" xfId="1" applyFont="1" applyBorder="1" applyAlignment="1">
      <alignment vertical="center"/>
    </xf>
    <xf numFmtId="38" fontId="25" fillId="0" borderId="1" xfId="1" applyFont="1" applyBorder="1" applyAlignment="1">
      <alignment horizontal="center" vertical="center"/>
    </xf>
    <xf numFmtId="38" fontId="25" fillId="6" borderId="1" xfId="1" applyFont="1" applyFill="1" applyBorder="1" applyAlignment="1">
      <alignment horizontal="center" vertical="center"/>
    </xf>
    <xf numFmtId="38" fontId="25" fillId="2" borderId="1" xfId="1" applyFont="1" applyFill="1" applyBorder="1" applyAlignment="1">
      <alignment horizontal="center" vertical="center"/>
    </xf>
    <xf numFmtId="38" fontId="25" fillId="6" borderId="1" xfId="1" applyFont="1" applyFill="1" applyBorder="1">
      <alignment vertical="center"/>
    </xf>
    <xf numFmtId="38" fontId="25" fillId="4" borderId="1" xfId="1" applyFont="1" applyFill="1" applyBorder="1" applyAlignment="1">
      <alignment horizontal="center" vertical="center"/>
    </xf>
    <xf numFmtId="38" fontId="25" fillId="5" borderId="1" xfId="1" applyFont="1" applyFill="1" applyBorder="1" applyAlignment="1">
      <alignment horizontal="center" vertical="center"/>
    </xf>
    <xf numFmtId="38" fontId="5" fillId="0" borderId="0" xfId="1" applyFont="1" applyAlignment="1">
      <alignment vertical="top" wrapText="1"/>
    </xf>
    <xf numFmtId="38" fontId="13" fillId="0" borderId="0" xfId="1" applyFont="1" applyBorder="1" applyAlignment="1">
      <alignment vertical="center"/>
    </xf>
    <xf numFmtId="38" fontId="30" fillId="0" borderId="0" xfId="1" applyFont="1">
      <alignment vertical="center"/>
    </xf>
    <xf numFmtId="0" fontId="0" fillId="0" borderId="0" xfId="0" applyAlignment="1">
      <alignment vertical="center"/>
    </xf>
    <xf numFmtId="0" fontId="53" fillId="0" borderId="0" xfId="0" applyFont="1" applyAlignment="1">
      <alignment horizontal="center" vertical="center"/>
    </xf>
    <xf numFmtId="38" fontId="53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23" fillId="0" borderId="0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23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32" fillId="0" borderId="4" xfId="1" applyFont="1" applyFill="1" applyBorder="1" applyAlignment="1">
      <alignment horizontal="center" vertical="center"/>
    </xf>
    <xf numFmtId="38" fontId="12" fillId="0" borderId="18" xfId="1" applyFont="1" applyBorder="1" applyAlignment="1" applyProtection="1">
      <alignment horizontal="center" vertical="center"/>
      <protection locked="0"/>
    </xf>
    <xf numFmtId="38" fontId="12" fillId="0" borderId="19" xfId="1" applyFont="1" applyFill="1" applyBorder="1" applyAlignment="1" applyProtection="1">
      <alignment horizontal="center" vertical="center" wrapText="1"/>
      <protection locked="0"/>
    </xf>
    <xf numFmtId="38" fontId="12" fillId="0" borderId="19" xfId="1" applyFont="1" applyBorder="1" applyAlignment="1" applyProtection="1">
      <alignment horizontal="center" vertical="center"/>
      <protection locked="0"/>
    </xf>
    <xf numFmtId="38" fontId="12" fillId="6" borderId="20" xfId="1" applyFont="1" applyFill="1" applyBorder="1" applyAlignment="1" applyProtection="1">
      <alignment horizontal="center" vertical="center"/>
      <protection locked="0"/>
    </xf>
    <xf numFmtId="38" fontId="4" fillId="0" borderId="5" xfId="1" applyFont="1" applyBorder="1" applyAlignment="1">
      <alignment horizontal="center" vertical="center"/>
    </xf>
    <xf numFmtId="38" fontId="25" fillId="0" borderId="1" xfId="1" applyFont="1" applyBorder="1" applyAlignment="1">
      <alignment horizontal="center" vertical="center"/>
    </xf>
    <xf numFmtId="38" fontId="12" fillId="0" borderId="60" xfId="1" applyFont="1" applyBorder="1" applyAlignment="1" applyProtection="1">
      <alignment horizontal="center" vertical="center"/>
      <protection locked="0"/>
    </xf>
    <xf numFmtId="38" fontId="12" fillId="0" borderId="0" xfId="1" applyFont="1" applyFill="1" applyBorder="1" applyAlignment="1">
      <alignment horizontal="center" vertical="center"/>
    </xf>
    <xf numFmtId="38" fontId="28" fillId="0" borderId="0" xfId="1" applyFont="1" applyFill="1" applyBorder="1" applyAlignment="1">
      <alignment horizontal="center" vertical="center"/>
    </xf>
    <xf numFmtId="38" fontId="25" fillId="0" borderId="1" xfId="1" applyFont="1" applyFill="1" applyBorder="1">
      <alignment vertical="center"/>
    </xf>
    <xf numFmtId="38" fontId="23" fillId="5" borderId="0" xfId="1" applyFont="1" applyFill="1" applyBorder="1" applyAlignment="1">
      <alignment horizontal="center" vertical="center"/>
    </xf>
    <xf numFmtId="38" fontId="25" fillId="14" borderId="1" xfId="1" applyFont="1" applyFill="1" applyBorder="1">
      <alignment vertical="center"/>
    </xf>
    <xf numFmtId="38" fontId="12" fillId="0" borderId="39" xfId="1" applyFont="1" applyFill="1" applyBorder="1" applyAlignment="1" applyProtection="1">
      <alignment horizontal="center" vertical="center"/>
      <protection locked="0"/>
    </xf>
    <xf numFmtId="38" fontId="12" fillId="0" borderId="11" xfId="1" applyFont="1" applyFill="1" applyBorder="1" applyAlignment="1" applyProtection="1">
      <alignment horizontal="center" vertical="center"/>
      <protection locked="0"/>
    </xf>
    <xf numFmtId="38" fontId="12" fillId="0" borderId="15" xfId="1" applyFont="1" applyFill="1" applyBorder="1" applyAlignment="1" applyProtection="1">
      <alignment horizontal="center" vertical="center"/>
      <protection locked="0"/>
    </xf>
    <xf numFmtId="38" fontId="12" fillId="0" borderId="63" xfId="1" applyFont="1" applyFill="1" applyBorder="1" applyAlignment="1" applyProtection="1">
      <alignment horizontal="center" vertical="center"/>
      <protection locked="0"/>
    </xf>
    <xf numFmtId="38" fontId="56" fillId="0" borderId="1" xfId="1" applyFont="1" applyFill="1" applyBorder="1" applyAlignment="1" applyProtection="1">
      <alignment horizontal="center" vertical="center" wrapText="1"/>
      <protection locked="0"/>
    </xf>
    <xf numFmtId="38" fontId="6" fillId="0" borderId="0" xfId="1" applyFont="1" applyBorder="1" applyAlignment="1">
      <alignment horizontal="left" vertical="top" wrapText="1"/>
    </xf>
    <xf numFmtId="38" fontId="12" fillId="0" borderId="20" xfId="1" applyFont="1" applyBorder="1" applyAlignment="1" applyProtection="1">
      <alignment horizontal="center" vertical="center"/>
      <protection locked="0"/>
    </xf>
    <xf numFmtId="38" fontId="12" fillId="0" borderId="1" xfId="1" applyFont="1" applyFill="1" applyBorder="1" applyAlignment="1" applyProtection="1">
      <alignment horizontal="center" vertical="center"/>
      <protection locked="0"/>
    </xf>
    <xf numFmtId="38" fontId="12" fillId="0" borderId="1" xfId="1" applyFont="1" applyBorder="1" applyAlignment="1" applyProtection="1">
      <alignment horizontal="center" vertical="center"/>
      <protection locked="0"/>
    </xf>
    <xf numFmtId="38" fontId="12" fillId="5" borderId="1" xfId="1" applyFont="1" applyFill="1" applyBorder="1" applyAlignment="1" applyProtection="1">
      <alignment horizontal="center" vertical="center"/>
      <protection locked="0"/>
    </xf>
    <xf numFmtId="38" fontId="12" fillId="0" borderId="1" xfId="1" applyFont="1" applyFill="1" applyBorder="1" applyAlignment="1" applyProtection="1">
      <alignment horizontal="center" vertical="center" wrapText="1"/>
      <protection locked="0"/>
    </xf>
    <xf numFmtId="38" fontId="12" fillId="0" borderId="1" xfId="1" applyFont="1" applyBorder="1" applyAlignment="1" applyProtection="1">
      <alignment horizontal="center" vertical="center" wrapText="1"/>
      <protection locked="0"/>
    </xf>
    <xf numFmtId="38" fontId="12" fillId="5" borderId="1" xfId="1" applyFont="1" applyFill="1" applyBorder="1" applyAlignment="1" applyProtection="1">
      <alignment horizontal="center" vertical="center" wrapText="1"/>
      <protection locked="0"/>
    </xf>
    <xf numFmtId="38" fontId="55" fillId="0" borderId="20" xfId="1" applyFont="1" applyBorder="1" applyAlignment="1" applyProtection="1">
      <alignment horizontal="center" vertical="center"/>
      <protection locked="0"/>
    </xf>
    <xf numFmtId="38" fontId="8" fillId="0" borderId="53" xfId="1" applyFont="1" applyBorder="1" applyAlignment="1">
      <alignment horizontal="center" vertical="center"/>
    </xf>
    <xf numFmtId="38" fontId="20" fillId="3" borderId="20" xfId="1" applyFont="1" applyFill="1" applyBorder="1" applyAlignment="1">
      <alignment horizontal="center" vertical="center"/>
    </xf>
    <xf numFmtId="38" fontId="20" fillId="3" borderId="1" xfId="1" applyFont="1" applyFill="1" applyBorder="1" applyAlignment="1">
      <alignment horizontal="center" vertical="center"/>
    </xf>
    <xf numFmtId="38" fontId="20" fillId="3" borderId="21" xfId="1" applyFont="1" applyFill="1" applyBorder="1" applyAlignment="1">
      <alignment horizontal="center" vertical="center"/>
    </xf>
    <xf numFmtId="38" fontId="20" fillId="3" borderId="22" xfId="1" applyFont="1" applyFill="1" applyBorder="1" applyAlignment="1">
      <alignment horizontal="center" vertical="center"/>
    </xf>
    <xf numFmtId="38" fontId="20" fillId="3" borderId="23" xfId="1" applyFont="1" applyFill="1" applyBorder="1" applyAlignment="1">
      <alignment horizontal="center" vertical="center"/>
    </xf>
    <xf numFmtId="38" fontId="20" fillId="3" borderId="24" xfId="1" applyFont="1" applyFill="1" applyBorder="1" applyAlignment="1">
      <alignment horizontal="center" vertical="center"/>
    </xf>
    <xf numFmtId="38" fontId="32" fillId="5" borderId="1" xfId="1" applyFont="1" applyFill="1" applyBorder="1" applyAlignment="1">
      <alignment horizontal="center" vertical="center"/>
    </xf>
    <xf numFmtId="38" fontId="30" fillId="0" borderId="1" xfId="1" applyFont="1" applyBorder="1" applyAlignment="1">
      <alignment horizontal="left" vertical="center" wrapText="1"/>
    </xf>
    <xf numFmtId="38" fontId="38" fillId="0" borderId="46" xfId="1" applyFont="1" applyBorder="1" applyAlignment="1">
      <alignment horizontal="center" vertical="center"/>
    </xf>
    <xf numFmtId="38" fontId="38" fillId="0" borderId="0" xfId="1" applyFont="1" applyAlignment="1">
      <alignment horizontal="center" vertical="center"/>
    </xf>
    <xf numFmtId="38" fontId="10" fillId="9" borderId="1" xfId="1" applyFont="1" applyFill="1" applyBorder="1" applyAlignment="1">
      <alignment horizontal="center" vertical="center" wrapText="1"/>
    </xf>
    <xf numFmtId="38" fontId="17" fillId="9" borderId="1" xfId="1" applyFont="1" applyFill="1" applyBorder="1" applyAlignment="1">
      <alignment horizontal="center" vertical="center"/>
    </xf>
    <xf numFmtId="38" fontId="23" fillId="2" borderId="2" xfId="1" applyFont="1" applyFill="1" applyBorder="1" applyAlignment="1">
      <alignment horizontal="center" vertical="center" wrapText="1"/>
    </xf>
    <xf numFmtId="38" fontId="23" fillId="2" borderId="3" xfId="1" applyFont="1" applyFill="1" applyBorder="1" applyAlignment="1">
      <alignment horizontal="center" vertical="center"/>
    </xf>
    <xf numFmtId="38" fontId="23" fillId="2" borderId="4" xfId="1" applyFont="1" applyFill="1" applyBorder="1" applyAlignment="1">
      <alignment horizontal="center" vertical="center"/>
    </xf>
    <xf numFmtId="38" fontId="23" fillId="2" borderId="5" xfId="1" applyFont="1" applyFill="1" applyBorder="1" applyAlignment="1">
      <alignment horizontal="center" vertical="center"/>
    </xf>
    <xf numFmtId="38" fontId="7" fillId="4" borderId="7" xfId="1" applyFont="1" applyFill="1" applyBorder="1" applyAlignment="1">
      <alignment horizontal="center" vertical="center"/>
    </xf>
    <xf numFmtId="38" fontId="7" fillId="4" borderId="61" xfId="1" applyFont="1" applyFill="1" applyBorder="1" applyAlignment="1">
      <alignment horizontal="center" vertical="center"/>
    </xf>
    <xf numFmtId="38" fontId="7" fillId="4" borderId="8" xfId="1" applyFont="1" applyFill="1" applyBorder="1" applyAlignment="1">
      <alignment horizontal="center" vertical="center"/>
    </xf>
    <xf numFmtId="38" fontId="7" fillId="4" borderId="9" xfId="1" applyFont="1" applyFill="1" applyBorder="1" applyAlignment="1">
      <alignment horizontal="center" vertical="center"/>
    </xf>
    <xf numFmtId="38" fontId="7" fillId="4" borderId="62" xfId="1" applyFont="1" applyFill="1" applyBorder="1" applyAlignment="1">
      <alignment horizontal="center" vertical="center"/>
    </xf>
    <xf numFmtId="38" fontId="7" fillId="4" borderId="10" xfId="1" applyFont="1" applyFill="1" applyBorder="1" applyAlignment="1">
      <alignment horizontal="center" vertical="center"/>
    </xf>
    <xf numFmtId="38" fontId="4" fillId="5" borderId="7" xfId="1" applyFont="1" applyFill="1" applyBorder="1" applyAlignment="1">
      <alignment horizontal="center" vertical="center"/>
    </xf>
    <xf numFmtId="38" fontId="4" fillId="5" borderId="61" xfId="1" applyFont="1" applyFill="1" applyBorder="1" applyAlignment="1">
      <alignment horizontal="center" vertical="center"/>
    </xf>
    <xf numFmtId="38" fontId="4" fillId="5" borderId="8" xfId="1" applyFont="1" applyFill="1" applyBorder="1" applyAlignment="1">
      <alignment horizontal="center" vertical="center"/>
    </xf>
    <xf numFmtId="38" fontId="4" fillId="5" borderId="9" xfId="1" applyFont="1" applyFill="1" applyBorder="1" applyAlignment="1">
      <alignment horizontal="center" vertical="center"/>
    </xf>
    <xf numFmtId="38" fontId="4" fillId="5" borderId="62" xfId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31" fillId="3" borderId="47" xfId="1" applyFont="1" applyFill="1" applyBorder="1" applyAlignment="1">
      <alignment horizontal="center" vertical="center"/>
    </xf>
    <xf numFmtId="38" fontId="31" fillId="3" borderId="48" xfId="1" applyFont="1" applyFill="1" applyBorder="1" applyAlignment="1">
      <alignment horizontal="center" vertical="center"/>
    </xf>
    <xf numFmtId="38" fontId="31" fillId="3" borderId="49" xfId="1" applyFont="1" applyFill="1" applyBorder="1" applyAlignment="1">
      <alignment horizontal="center" vertical="center"/>
    </xf>
    <xf numFmtId="38" fontId="54" fillId="0" borderId="1" xfId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23" fillId="2" borderId="1" xfId="1" applyFont="1" applyFill="1" applyBorder="1" applyAlignment="1">
      <alignment horizontal="center" vertical="center"/>
    </xf>
    <xf numFmtId="38" fontId="23" fillId="4" borderId="1" xfId="1" applyFont="1" applyFill="1" applyBorder="1" applyAlignment="1">
      <alignment horizontal="center" vertical="center"/>
    </xf>
    <xf numFmtId="38" fontId="23" fillId="5" borderId="1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4" borderId="12" xfId="1" applyFont="1" applyFill="1" applyBorder="1" applyAlignment="1">
      <alignment horizontal="center" vertical="center"/>
    </xf>
    <xf numFmtId="38" fontId="6" fillId="5" borderId="12" xfId="1" applyFont="1" applyFill="1" applyBorder="1" applyAlignment="1">
      <alignment horizontal="center" vertical="center"/>
    </xf>
    <xf numFmtId="38" fontId="18" fillId="3" borderId="1" xfId="1" applyFont="1" applyFill="1" applyBorder="1" applyAlignment="1">
      <alignment horizontal="center" vertical="center" wrapText="1"/>
    </xf>
    <xf numFmtId="38" fontId="18" fillId="3" borderId="1" xfId="1" applyFont="1" applyFill="1" applyBorder="1" applyAlignment="1">
      <alignment horizontal="center" vertical="center"/>
    </xf>
    <xf numFmtId="38" fontId="32" fillId="2" borderId="1" xfId="1" applyFont="1" applyFill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32" fillId="4" borderId="1" xfId="1" applyFont="1" applyFill="1" applyBorder="1" applyAlignment="1">
      <alignment horizontal="center" vertical="center"/>
    </xf>
    <xf numFmtId="38" fontId="17" fillId="7" borderId="1" xfId="1" applyFont="1" applyFill="1" applyBorder="1" applyAlignment="1">
      <alignment horizontal="center" vertical="center" wrapText="1"/>
    </xf>
    <xf numFmtId="38" fontId="17" fillId="7" borderId="1" xfId="1" applyFont="1" applyFill="1" applyBorder="1" applyAlignment="1">
      <alignment horizontal="center" vertical="center"/>
    </xf>
    <xf numFmtId="12" fontId="4" fillId="0" borderId="11" xfId="1" applyNumberFormat="1" applyFont="1" applyBorder="1" applyAlignment="1">
      <alignment horizontal="center" vertical="center"/>
    </xf>
    <xf numFmtId="38" fontId="23" fillId="4" borderId="2" xfId="1" applyFont="1" applyFill="1" applyBorder="1" applyAlignment="1">
      <alignment horizontal="center" vertical="center" wrapText="1"/>
    </xf>
    <xf numFmtId="38" fontId="23" fillId="4" borderId="13" xfId="1" applyFont="1" applyFill="1" applyBorder="1" applyAlignment="1">
      <alignment horizontal="center" vertical="center" wrapText="1"/>
    </xf>
    <xf numFmtId="38" fontId="23" fillId="4" borderId="3" xfId="1" applyFont="1" applyFill="1" applyBorder="1" applyAlignment="1">
      <alignment horizontal="center" vertical="center"/>
    </xf>
    <xf numFmtId="38" fontId="23" fillId="4" borderId="4" xfId="1" applyFont="1" applyFill="1" applyBorder="1" applyAlignment="1">
      <alignment horizontal="center" vertical="center"/>
    </xf>
    <xf numFmtId="38" fontId="23" fillId="4" borderId="0" xfId="1" applyFont="1" applyFill="1" applyBorder="1" applyAlignment="1">
      <alignment horizontal="center" vertical="center"/>
    </xf>
    <xf numFmtId="38" fontId="23" fillId="4" borderId="5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38" fontId="17" fillId="8" borderId="1" xfId="1" applyFont="1" applyFill="1" applyBorder="1" applyAlignment="1">
      <alignment horizontal="center" vertical="center" wrapText="1"/>
    </xf>
    <xf numFmtId="38" fontId="17" fillId="8" borderId="1" xfId="1" applyFont="1" applyFill="1" applyBorder="1" applyAlignment="1">
      <alignment horizontal="center" vertical="center"/>
    </xf>
    <xf numFmtId="38" fontId="23" fillId="2" borderId="1" xfId="1" applyNumberFormat="1" applyFont="1" applyFill="1" applyBorder="1" applyAlignment="1">
      <alignment horizontal="center" vertical="center" wrapText="1"/>
    </xf>
    <xf numFmtId="38" fontId="23" fillId="5" borderId="2" xfId="1" applyFont="1" applyFill="1" applyBorder="1" applyAlignment="1">
      <alignment horizontal="center" vertical="center" wrapText="1"/>
    </xf>
    <xf numFmtId="38" fontId="23" fillId="5" borderId="13" xfId="1" applyFont="1" applyFill="1" applyBorder="1" applyAlignment="1">
      <alignment horizontal="center" vertical="center" wrapText="1"/>
    </xf>
    <xf numFmtId="38" fontId="23" fillId="5" borderId="3" xfId="1" applyFont="1" applyFill="1" applyBorder="1" applyAlignment="1">
      <alignment horizontal="center" vertical="center"/>
    </xf>
    <xf numFmtId="38" fontId="23" fillId="5" borderId="4" xfId="1" applyFont="1" applyFill="1" applyBorder="1" applyAlignment="1">
      <alignment horizontal="center" vertical="center"/>
    </xf>
    <xf numFmtId="38" fontId="23" fillId="5" borderId="0" xfId="1" applyFont="1" applyFill="1" applyBorder="1" applyAlignment="1">
      <alignment horizontal="center" vertical="center"/>
    </xf>
    <xf numFmtId="38" fontId="23" fillId="5" borderId="5" xfId="1" applyFont="1" applyFill="1" applyBorder="1" applyAlignment="1">
      <alignment horizontal="center" vertical="center"/>
    </xf>
    <xf numFmtId="38" fontId="23" fillId="5" borderId="2" xfId="1" applyNumberFormat="1" applyFont="1" applyFill="1" applyBorder="1" applyAlignment="1">
      <alignment horizontal="center" vertical="center" wrapText="1"/>
    </xf>
    <xf numFmtId="38" fontId="23" fillId="5" borderId="13" xfId="1" applyNumberFormat="1" applyFont="1" applyFill="1" applyBorder="1" applyAlignment="1">
      <alignment horizontal="center" vertical="center" wrapText="1"/>
    </xf>
    <xf numFmtId="38" fontId="23" fillId="5" borderId="3" xfId="1" applyNumberFormat="1" applyFont="1" applyFill="1" applyBorder="1" applyAlignment="1">
      <alignment horizontal="center" vertical="center"/>
    </xf>
    <xf numFmtId="38" fontId="23" fillId="5" borderId="4" xfId="1" applyNumberFormat="1" applyFont="1" applyFill="1" applyBorder="1" applyAlignment="1">
      <alignment horizontal="center" vertical="center"/>
    </xf>
    <xf numFmtId="38" fontId="23" fillId="5" borderId="0" xfId="1" applyNumberFormat="1" applyFont="1" applyFill="1" applyBorder="1" applyAlignment="1">
      <alignment horizontal="center" vertical="center"/>
    </xf>
    <xf numFmtId="38" fontId="23" fillId="5" borderId="5" xfId="1" applyNumberFormat="1" applyFont="1" applyFill="1" applyBorder="1" applyAlignment="1">
      <alignment horizontal="center" vertical="center"/>
    </xf>
    <xf numFmtId="38" fontId="11" fillId="2" borderId="2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  <xf numFmtId="38" fontId="11" fillId="2" borderId="4" xfId="1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38" fontId="11" fillId="4" borderId="2" xfId="1" applyFont="1" applyFill="1" applyBorder="1" applyAlignment="1">
      <alignment horizontal="center" vertical="center" wrapText="1"/>
    </xf>
    <xf numFmtId="38" fontId="11" fillId="4" borderId="13" xfId="1" applyFont="1" applyFill="1" applyBorder="1" applyAlignment="1">
      <alignment horizontal="center" vertical="center" wrapText="1"/>
    </xf>
    <xf numFmtId="38" fontId="11" fillId="4" borderId="3" xfId="1" applyFont="1" applyFill="1" applyBorder="1" applyAlignment="1">
      <alignment horizontal="center" vertical="center"/>
    </xf>
    <xf numFmtId="38" fontId="11" fillId="4" borderId="4" xfId="1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horizontal="center" vertical="center"/>
    </xf>
    <xf numFmtId="38" fontId="11" fillId="4" borderId="5" xfId="1" applyFont="1" applyFill="1" applyBorder="1" applyAlignment="1">
      <alignment horizontal="center" vertical="center"/>
    </xf>
    <xf numFmtId="38" fontId="11" fillId="5" borderId="2" xfId="1" applyFont="1" applyFill="1" applyBorder="1" applyAlignment="1">
      <alignment horizontal="center" vertical="center" wrapText="1"/>
    </xf>
    <xf numFmtId="38" fontId="11" fillId="5" borderId="13" xfId="1" applyFont="1" applyFill="1" applyBorder="1" applyAlignment="1">
      <alignment horizontal="center" vertical="center" wrapText="1"/>
    </xf>
    <xf numFmtId="38" fontId="11" fillId="5" borderId="3" xfId="1" applyFont="1" applyFill="1" applyBorder="1" applyAlignment="1">
      <alignment horizontal="center" vertical="center"/>
    </xf>
    <xf numFmtId="38" fontId="11" fillId="5" borderId="4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5" xfId="1" applyFont="1" applyFill="1" applyBorder="1" applyAlignment="1">
      <alignment horizontal="center" vertical="center"/>
    </xf>
    <xf numFmtId="38" fontId="25" fillId="0" borderId="0" xfId="1" applyFont="1" applyBorder="1" applyAlignment="1">
      <alignment horizontal="center" vertical="center"/>
    </xf>
    <xf numFmtId="38" fontId="25" fillId="0" borderId="0" xfId="1" applyFont="1" applyAlignment="1">
      <alignment horizontal="center" vertical="center"/>
    </xf>
    <xf numFmtId="38" fontId="12" fillId="14" borderId="1" xfId="1" applyFont="1" applyFill="1" applyBorder="1" applyAlignment="1">
      <alignment horizontal="center" vertical="center"/>
    </xf>
    <xf numFmtId="38" fontId="28" fillId="14" borderId="1" xfId="1" applyFont="1" applyFill="1" applyBorder="1" applyAlignment="1">
      <alignment horizontal="center" vertical="center"/>
    </xf>
    <xf numFmtId="38" fontId="12" fillId="5" borderId="23" xfId="1" applyFont="1" applyFill="1" applyBorder="1" applyAlignment="1" applyProtection="1">
      <alignment horizontal="center" vertical="center"/>
      <protection locked="0"/>
    </xf>
    <xf numFmtId="38" fontId="4" fillId="5" borderId="0" xfId="1" applyFont="1" applyFill="1" applyBorder="1" applyAlignment="1">
      <alignment horizontal="center" vertical="center"/>
    </xf>
    <xf numFmtId="38" fontId="12" fillId="0" borderId="19" xfId="1" applyFont="1" applyFill="1" applyBorder="1" applyAlignment="1" applyProtection="1">
      <alignment horizontal="center" vertical="center"/>
      <protection locked="0"/>
    </xf>
    <xf numFmtId="38" fontId="12" fillId="5" borderId="19" xfId="1" applyFont="1" applyFill="1" applyBorder="1" applyAlignment="1" applyProtection="1">
      <alignment horizontal="center" vertical="center" wrapText="1"/>
      <protection locked="0"/>
    </xf>
    <xf numFmtId="38" fontId="12" fillId="0" borderId="19" xfId="1" applyFont="1" applyBorder="1" applyAlignment="1" applyProtection="1">
      <alignment horizontal="center" vertical="center"/>
      <protection locked="0"/>
    </xf>
    <xf numFmtId="38" fontId="12" fillId="0" borderId="54" xfId="1" applyFont="1" applyFill="1" applyBorder="1" applyAlignment="1" applyProtection="1">
      <alignment horizontal="center" vertical="center"/>
      <protection locked="0"/>
    </xf>
    <xf numFmtId="38" fontId="12" fillId="0" borderId="55" xfId="1" applyFont="1" applyFill="1" applyBorder="1" applyAlignment="1" applyProtection="1">
      <alignment horizontal="center" vertical="center"/>
      <protection locked="0"/>
    </xf>
    <xf numFmtId="38" fontId="12" fillId="0" borderId="56" xfId="1" applyFont="1" applyFill="1" applyBorder="1" applyAlignment="1" applyProtection="1">
      <alignment horizontal="center" vertical="center"/>
      <protection locked="0"/>
    </xf>
    <xf numFmtId="38" fontId="12" fillId="0" borderId="23" xfId="1" applyFont="1" applyBorder="1" applyAlignment="1" applyProtection="1">
      <alignment horizontal="center" vertical="center"/>
      <protection locked="0"/>
    </xf>
    <xf numFmtId="38" fontId="12" fillId="0" borderId="23" xfId="1" applyFont="1" applyFill="1" applyBorder="1" applyAlignment="1" applyProtection="1">
      <alignment horizontal="center" vertical="center"/>
      <protection locked="0"/>
    </xf>
    <xf numFmtId="38" fontId="33" fillId="9" borderId="1" xfId="1" applyFont="1" applyFill="1" applyBorder="1" applyAlignment="1">
      <alignment horizontal="center" vertical="center"/>
    </xf>
    <xf numFmtId="38" fontId="34" fillId="8" borderId="1" xfId="1" applyFont="1" applyFill="1" applyBorder="1" applyAlignment="1">
      <alignment horizontal="center" vertical="center"/>
    </xf>
    <xf numFmtId="176" fontId="34" fillId="7" borderId="2" xfId="1" applyNumberFormat="1" applyFont="1" applyFill="1" applyBorder="1" applyAlignment="1">
      <alignment horizontal="center" vertical="center"/>
    </xf>
    <xf numFmtId="176" fontId="34" fillId="7" borderId="3" xfId="1" applyNumberFormat="1" applyFont="1" applyFill="1" applyBorder="1" applyAlignment="1">
      <alignment horizontal="center" vertical="center"/>
    </xf>
    <xf numFmtId="176" fontId="34" fillId="7" borderId="4" xfId="1" applyNumberFormat="1" applyFont="1" applyFill="1" applyBorder="1" applyAlignment="1">
      <alignment horizontal="center" vertical="center"/>
    </xf>
    <xf numFmtId="176" fontId="34" fillId="7" borderId="5" xfId="1" applyNumberFormat="1" applyFont="1" applyFill="1" applyBorder="1" applyAlignment="1">
      <alignment horizontal="center" vertical="center"/>
    </xf>
    <xf numFmtId="176" fontId="34" fillId="7" borderId="16" xfId="1" applyNumberFormat="1" applyFont="1" applyFill="1" applyBorder="1" applyAlignment="1">
      <alignment horizontal="center" vertical="center"/>
    </xf>
    <xf numFmtId="176" fontId="34" fillId="7" borderId="17" xfId="1" applyNumberFormat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 wrapText="1"/>
    </xf>
    <xf numFmtId="38" fontId="7" fillId="0" borderId="0" xfId="1" applyFont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12" fillId="0" borderId="22" xfId="1" applyFont="1" applyBorder="1" applyAlignment="1" applyProtection="1">
      <alignment horizontal="center" vertical="center"/>
      <protection locked="0"/>
    </xf>
    <xf numFmtId="38" fontId="30" fillId="0" borderId="2" xfId="1" applyFont="1" applyBorder="1" applyAlignment="1">
      <alignment horizontal="left" vertical="top" wrapText="1"/>
    </xf>
    <xf numFmtId="38" fontId="30" fillId="0" borderId="13" xfId="1" applyFont="1" applyBorder="1" applyAlignment="1">
      <alignment horizontal="left" vertical="top" wrapText="1"/>
    </xf>
    <xf numFmtId="38" fontId="30" fillId="0" borderId="3" xfId="1" applyFont="1" applyBorder="1" applyAlignment="1">
      <alignment horizontal="left" vertical="top" wrapText="1"/>
    </xf>
    <xf numFmtId="38" fontId="30" fillId="0" borderId="4" xfId="1" applyFont="1" applyBorder="1" applyAlignment="1">
      <alignment horizontal="left" vertical="top" wrapText="1"/>
    </xf>
    <xf numFmtId="38" fontId="30" fillId="0" borderId="0" xfId="1" applyFont="1" applyBorder="1" applyAlignment="1">
      <alignment horizontal="left" vertical="top" wrapText="1"/>
    </xf>
    <xf numFmtId="38" fontId="30" fillId="0" borderId="5" xfId="1" applyFont="1" applyBorder="1" applyAlignment="1">
      <alignment horizontal="left" vertical="top" wrapText="1"/>
    </xf>
    <xf numFmtId="38" fontId="30" fillId="0" borderId="16" xfId="1" applyFont="1" applyBorder="1" applyAlignment="1">
      <alignment horizontal="left" vertical="top" wrapText="1"/>
    </xf>
    <xf numFmtId="38" fontId="30" fillId="0" borderId="6" xfId="1" applyFont="1" applyBorder="1" applyAlignment="1">
      <alignment horizontal="left" vertical="top" wrapText="1"/>
    </xf>
    <xf numFmtId="38" fontId="30" fillId="0" borderId="17" xfId="1" applyFont="1" applyBorder="1" applyAlignment="1">
      <alignment horizontal="left" vertical="top" wrapText="1"/>
    </xf>
    <xf numFmtId="38" fontId="22" fillId="0" borderId="21" xfId="1" applyFont="1" applyBorder="1" applyAlignment="1" applyProtection="1">
      <alignment horizontal="center" vertical="center"/>
    </xf>
    <xf numFmtId="38" fontId="22" fillId="0" borderId="24" xfId="1" applyFont="1" applyBorder="1" applyAlignment="1" applyProtection="1">
      <alignment horizontal="center" vertical="center"/>
    </xf>
    <xf numFmtId="38" fontId="34" fillId="9" borderId="1" xfId="1" applyFont="1" applyFill="1" applyBorder="1" applyAlignment="1">
      <alignment horizontal="center" vertical="center"/>
    </xf>
    <xf numFmtId="38" fontId="13" fillId="13" borderId="25" xfId="1" applyFont="1" applyFill="1" applyBorder="1" applyAlignment="1" applyProtection="1">
      <alignment horizontal="center" vertical="center" wrapText="1"/>
      <protection locked="0"/>
    </xf>
    <xf numFmtId="38" fontId="13" fillId="13" borderId="21" xfId="1" applyFont="1" applyFill="1" applyBorder="1" applyAlignment="1" applyProtection="1">
      <alignment horizontal="center" vertical="center" wrapText="1"/>
      <protection locked="0"/>
    </xf>
    <xf numFmtId="38" fontId="33" fillId="7" borderId="1" xfId="1" applyFont="1" applyFill="1" applyBorder="1" applyAlignment="1">
      <alignment horizontal="center" vertical="center"/>
    </xf>
    <xf numFmtId="176" fontId="34" fillId="7" borderId="1" xfId="1" applyNumberFormat="1" applyFont="1" applyFill="1" applyBorder="1" applyAlignment="1">
      <alignment horizontal="center" vertical="center"/>
    </xf>
    <xf numFmtId="38" fontId="35" fillId="8" borderId="1" xfId="1" applyFont="1" applyFill="1" applyBorder="1" applyAlignment="1">
      <alignment horizontal="center" vertical="center"/>
    </xf>
    <xf numFmtId="38" fontId="56" fillId="0" borderId="39" xfId="1" applyFont="1" applyBorder="1" applyAlignment="1" applyProtection="1">
      <alignment horizontal="center" vertical="center"/>
      <protection locked="0"/>
    </xf>
    <xf numFmtId="38" fontId="56" fillId="0" borderId="15" xfId="1" applyFont="1" applyBorder="1" applyAlignment="1" applyProtection="1">
      <alignment horizontal="center" vertical="center"/>
      <protection locked="0"/>
    </xf>
    <xf numFmtId="38" fontId="28" fillId="0" borderId="4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41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6" borderId="2" xfId="1" applyFont="1" applyFill="1" applyBorder="1" applyAlignment="1" applyProtection="1">
      <alignment horizontal="center" vertical="center"/>
      <protection locked="0"/>
    </xf>
    <xf numFmtId="38" fontId="0" fillId="6" borderId="3" xfId="1" applyFont="1" applyFill="1" applyBorder="1" applyAlignment="1" applyProtection="1">
      <alignment horizontal="center" vertical="center"/>
      <protection locked="0"/>
    </xf>
    <xf numFmtId="38" fontId="0" fillId="6" borderId="4" xfId="1" applyFont="1" applyFill="1" applyBorder="1" applyAlignment="1" applyProtection="1">
      <alignment horizontal="center" vertical="center"/>
      <protection locked="0"/>
    </xf>
    <xf numFmtId="38" fontId="0" fillId="6" borderId="5" xfId="1" applyFont="1" applyFill="1" applyBorder="1" applyAlignment="1" applyProtection="1">
      <alignment horizontal="center" vertical="center"/>
      <protection locked="0"/>
    </xf>
    <xf numFmtId="38" fontId="0" fillId="6" borderId="16" xfId="1" applyFont="1" applyFill="1" applyBorder="1" applyAlignment="1" applyProtection="1">
      <alignment horizontal="center" vertical="center"/>
      <protection locked="0"/>
    </xf>
    <xf numFmtId="38" fontId="0" fillId="6" borderId="17" xfId="1" applyFont="1" applyFill="1" applyBorder="1" applyAlignment="1" applyProtection="1">
      <alignment horizontal="center" vertical="center"/>
      <protection locked="0"/>
    </xf>
    <xf numFmtId="38" fontId="40" fillId="0" borderId="4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45" fillId="0" borderId="1" xfId="1" applyFont="1" applyBorder="1" applyAlignment="1">
      <alignment horizontal="center" vertical="center"/>
    </xf>
    <xf numFmtId="38" fontId="42" fillId="0" borderId="38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0" fillId="0" borderId="1" xfId="1" applyFont="1" applyBorder="1" applyAlignment="1">
      <alignment horizontal="center" vertical="center" wrapText="1"/>
    </xf>
    <xf numFmtId="38" fontId="51" fillId="0" borderId="1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38" fontId="0" fillId="6" borderId="1" xfId="1" applyFont="1" applyFill="1" applyBorder="1" applyAlignment="1" applyProtection="1">
      <alignment horizontal="center" vertical="center"/>
      <protection locked="0"/>
    </xf>
    <xf numFmtId="38" fontId="0" fillId="0" borderId="0" xfId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38" fontId="22" fillId="0" borderId="52" xfId="1" applyFont="1" applyBorder="1" applyAlignment="1">
      <alignment horizontal="center" vertical="center"/>
    </xf>
    <xf numFmtId="38" fontId="22" fillId="0" borderId="29" xfId="1" applyFont="1" applyBorder="1" applyAlignment="1">
      <alignment horizontal="center" vertical="center"/>
    </xf>
    <xf numFmtId="38" fontId="24" fillId="0" borderId="1" xfId="1" applyFont="1" applyBorder="1" applyAlignment="1">
      <alignment horizontal="center" vertical="center"/>
    </xf>
    <xf numFmtId="38" fontId="25" fillId="0" borderId="1" xfId="1" applyFont="1" applyBorder="1" applyAlignment="1">
      <alignment horizontal="center" vertical="center"/>
    </xf>
    <xf numFmtId="38" fontId="25" fillId="2" borderId="1" xfId="1" applyFont="1" applyFill="1" applyBorder="1" applyAlignment="1">
      <alignment horizontal="center" vertical="center"/>
    </xf>
    <xf numFmtId="38" fontId="25" fillId="4" borderId="1" xfId="1" applyFont="1" applyFill="1" applyBorder="1" applyAlignment="1">
      <alignment horizontal="center" vertical="center"/>
    </xf>
    <xf numFmtId="38" fontId="25" fillId="5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3" borderId="31" xfId="1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center" vertical="center"/>
    </xf>
    <xf numFmtId="38" fontId="17" fillId="11" borderId="20" xfId="1" applyFont="1" applyFill="1" applyBorder="1" applyAlignment="1">
      <alignment horizontal="center" vertical="center"/>
    </xf>
    <xf numFmtId="38" fontId="7" fillId="3" borderId="18" xfId="1" applyFont="1" applyFill="1" applyBorder="1" applyAlignment="1">
      <alignment horizontal="center" vertical="center"/>
    </xf>
    <xf numFmtId="38" fontId="7" fillId="3" borderId="19" xfId="1" applyFont="1" applyFill="1" applyBorder="1" applyAlignment="1">
      <alignment horizontal="center"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center" vertical="center"/>
    </xf>
    <xf numFmtId="38" fontId="7" fillId="3" borderId="39" xfId="1" applyFont="1" applyFill="1" applyBorder="1" applyAlignment="1">
      <alignment horizontal="center" vertical="center"/>
    </xf>
    <xf numFmtId="38" fontId="15" fillId="3" borderId="25" xfId="1" applyFont="1" applyFill="1" applyBorder="1" applyAlignment="1">
      <alignment horizontal="center" vertical="center"/>
    </xf>
    <xf numFmtId="38" fontId="15" fillId="3" borderId="21" xfId="1" applyFont="1" applyFill="1" applyBorder="1" applyAlignment="1">
      <alignment horizontal="center" vertical="center"/>
    </xf>
    <xf numFmtId="38" fontId="17" fillId="10" borderId="20" xfId="1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35" fillId="3" borderId="32" xfId="1" applyFont="1" applyFill="1" applyBorder="1" applyAlignment="1">
      <alignment horizontal="center" vertical="center"/>
    </xf>
    <xf numFmtId="38" fontId="35" fillId="3" borderId="1" xfId="1" applyFont="1" applyFill="1" applyBorder="1" applyAlignment="1">
      <alignment horizontal="center" vertical="center"/>
    </xf>
    <xf numFmtId="38" fontId="35" fillId="3" borderId="41" xfId="1" applyFont="1" applyFill="1" applyBorder="1" applyAlignment="1">
      <alignment horizontal="center" vertical="center"/>
    </xf>
    <xf numFmtId="38" fontId="34" fillId="3" borderId="32" xfId="1" applyFont="1" applyFill="1" applyBorder="1" applyAlignment="1">
      <alignment horizontal="center" vertical="center"/>
    </xf>
    <xf numFmtId="38" fontId="34" fillId="3" borderId="1" xfId="1" applyFont="1" applyFill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34" fillId="3" borderId="41" xfId="1" applyFont="1" applyFill="1" applyBorder="1" applyAlignment="1">
      <alignment horizontal="center" vertical="center"/>
    </xf>
    <xf numFmtId="38" fontId="35" fillId="3" borderId="45" xfId="1" applyFont="1" applyFill="1" applyBorder="1" applyAlignment="1">
      <alignment horizontal="center" vertical="center"/>
    </xf>
    <xf numFmtId="38" fontId="35" fillId="3" borderId="12" xfId="1" applyFont="1" applyFill="1" applyBorder="1" applyAlignment="1">
      <alignment horizontal="center" vertical="center"/>
    </xf>
    <xf numFmtId="38" fontId="35" fillId="3" borderId="14" xfId="1" applyFont="1" applyFill="1" applyBorder="1" applyAlignment="1">
      <alignment horizontal="center" vertical="center"/>
    </xf>
    <xf numFmtId="38" fontId="35" fillId="3" borderId="37" xfId="1" applyFont="1" applyFill="1" applyBorder="1" applyAlignment="1">
      <alignment horizontal="center" vertical="center"/>
    </xf>
    <xf numFmtId="38" fontId="17" fillId="12" borderId="20" xfId="1" applyFont="1" applyFill="1" applyBorder="1" applyAlignment="1">
      <alignment horizontal="center" vertical="center"/>
    </xf>
    <xf numFmtId="38" fontId="17" fillId="12" borderId="22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12" fillId="0" borderId="43" xfId="1" applyFont="1" applyBorder="1" applyAlignment="1">
      <alignment horizontal="center" vertical="center"/>
    </xf>
    <xf numFmtId="38" fontId="12" fillId="0" borderId="31" xfId="1" applyFont="1" applyBorder="1" applyAlignment="1">
      <alignment horizontal="center" vertical="center"/>
    </xf>
    <xf numFmtId="38" fontId="12" fillId="0" borderId="44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27" xfId="1" applyFont="1" applyBorder="1" applyAlignment="1">
      <alignment horizontal="center" vertical="center"/>
    </xf>
    <xf numFmtId="38" fontId="21" fillId="0" borderId="21" xfId="1" applyFont="1" applyBorder="1" applyAlignment="1">
      <alignment horizontal="center" vertical="center"/>
    </xf>
    <xf numFmtId="38" fontId="21" fillId="0" borderId="24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22" fillId="0" borderId="1" xfId="1" applyFont="1" applyBorder="1" applyAlignment="1">
      <alignment horizontal="center" vertical="center"/>
    </xf>
    <xf numFmtId="38" fontId="22" fillId="0" borderId="39" xfId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12" fillId="5" borderId="1" xfId="1" applyFont="1" applyFill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13" fillId="3" borderId="15" xfId="1" applyFont="1" applyFill="1" applyBorder="1" applyAlignment="1">
      <alignment horizontal="center" vertical="center"/>
    </xf>
    <xf numFmtId="38" fontId="13" fillId="3" borderId="1" xfId="1" applyFont="1" applyFill="1" applyBorder="1" applyAlignment="1">
      <alignment horizontal="center" vertical="center"/>
    </xf>
    <xf numFmtId="38" fontId="16" fillId="3" borderId="15" xfId="1" applyFont="1" applyFill="1" applyBorder="1" applyAlignment="1">
      <alignment horizontal="center" vertical="center"/>
    </xf>
    <xf numFmtId="38" fontId="16" fillId="3" borderId="1" xfId="1" applyFont="1" applyFill="1" applyBorder="1" applyAlignment="1">
      <alignment horizontal="center" vertical="center"/>
    </xf>
    <xf numFmtId="38" fontId="12" fillId="0" borderId="16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21" fillId="0" borderId="57" xfId="1" applyFont="1" applyBorder="1" applyAlignment="1">
      <alignment horizontal="center" vertical="center"/>
    </xf>
    <xf numFmtId="38" fontId="21" fillId="0" borderId="58" xfId="1" applyFont="1" applyBorder="1" applyAlignment="1">
      <alignment horizontal="center" vertical="center"/>
    </xf>
    <xf numFmtId="38" fontId="21" fillId="0" borderId="59" xfId="1" applyFont="1" applyBorder="1" applyAlignment="1">
      <alignment horizontal="center" vertical="center"/>
    </xf>
    <xf numFmtId="38" fontId="33" fillId="7" borderId="34" xfId="1" applyFont="1" applyFill="1" applyBorder="1" applyAlignment="1">
      <alignment horizontal="center" vertical="center"/>
    </xf>
    <xf numFmtId="38" fontId="33" fillId="7" borderId="35" xfId="1" applyFont="1" applyFill="1" applyBorder="1" applyAlignment="1">
      <alignment horizontal="center" vertical="center"/>
    </xf>
    <xf numFmtId="38" fontId="33" fillId="7" borderId="40" xfId="1" applyFont="1" applyFill="1" applyBorder="1" applyAlignment="1">
      <alignment horizontal="center" vertical="center"/>
    </xf>
    <xf numFmtId="176" fontId="34" fillId="7" borderId="41" xfId="1" applyNumberFormat="1" applyFont="1" applyFill="1" applyBorder="1" applyAlignment="1">
      <alignment horizontal="center" vertical="center"/>
    </xf>
    <xf numFmtId="38" fontId="35" fillId="8" borderId="32" xfId="1" applyFont="1" applyFill="1" applyBorder="1" applyAlignment="1">
      <alignment horizontal="center" vertical="center"/>
    </xf>
    <xf numFmtId="38" fontId="35" fillId="8" borderId="41" xfId="1" applyFont="1" applyFill="1" applyBorder="1" applyAlignment="1">
      <alignment horizontal="center" vertical="center"/>
    </xf>
    <xf numFmtId="38" fontId="34" fillId="8" borderId="41" xfId="1" applyFont="1" applyFill="1" applyBorder="1" applyAlignment="1">
      <alignment horizontal="center" vertical="center"/>
    </xf>
    <xf numFmtId="38" fontId="34" fillId="8" borderId="32" xfId="1" applyFont="1" applyFill="1" applyBorder="1" applyAlignment="1">
      <alignment horizontal="center" vertical="center"/>
    </xf>
    <xf numFmtId="176" fontId="34" fillId="7" borderId="32" xfId="1" applyNumberFormat="1" applyFont="1" applyFill="1" applyBorder="1" applyAlignment="1">
      <alignment horizontal="center" vertical="center"/>
    </xf>
    <xf numFmtId="38" fontId="33" fillId="9" borderId="32" xfId="1" applyFont="1" applyFill="1" applyBorder="1" applyAlignment="1">
      <alignment horizontal="center" vertical="center"/>
    </xf>
    <xf numFmtId="38" fontId="33" fillId="9" borderId="41" xfId="1" applyFont="1" applyFill="1" applyBorder="1" applyAlignment="1">
      <alignment horizontal="center" vertical="center"/>
    </xf>
    <xf numFmtId="38" fontId="34" fillId="9" borderId="41" xfId="1" applyFont="1" applyFill="1" applyBorder="1" applyAlignment="1">
      <alignment horizontal="center" vertical="center"/>
    </xf>
    <xf numFmtId="38" fontId="34" fillId="9" borderId="32" xfId="1" applyFont="1" applyFill="1" applyBorder="1" applyAlignment="1">
      <alignment horizontal="center" vertical="center"/>
    </xf>
    <xf numFmtId="38" fontId="22" fillId="0" borderId="30" xfId="1" applyFont="1" applyBorder="1" applyAlignment="1">
      <alignment horizontal="center" vertical="center"/>
    </xf>
    <xf numFmtId="38" fontId="12" fillId="13" borderId="28" xfId="1" applyFont="1" applyFill="1" applyBorder="1" applyAlignment="1">
      <alignment horizontal="center" vertical="center" wrapText="1"/>
    </xf>
    <xf numFmtId="38" fontId="12" fillId="13" borderId="29" xfId="1" applyFont="1" applyFill="1" applyBorder="1" applyAlignment="1">
      <alignment horizontal="center" vertical="center" wrapText="1"/>
    </xf>
    <xf numFmtId="38" fontId="26" fillId="0" borderId="1" xfId="1" applyFont="1" applyBorder="1" applyAlignment="1">
      <alignment horizontal="center" vertical="center"/>
    </xf>
    <xf numFmtId="38" fontId="26" fillId="0" borderId="15" xfId="1" applyFont="1" applyBorder="1" applyAlignment="1">
      <alignment horizontal="center" vertical="center"/>
    </xf>
    <xf numFmtId="38" fontId="24" fillId="0" borderId="0" xfId="1" applyFont="1" applyAlignment="1">
      <alignment horizontal="center" vertical="center"/>
    </xf>
    <xf numFmtId="38" fontId="24" fillId="0" borderId="0" xfId="1" applyFont="1" applyBorder="1" applyAlignment="1">
      <alignment horizontal="center" vertical="center"/>
    </xf>
    <xf numFmtId="38" fontId="12" fillId="3" borderId="13" xfId="1" applyFont="1" applyFill="1" applyBorder="1" applyAlignment="1">
      <alignment horizontal="center" vertical="center"/>
    </xf>
    <xf numFmtId="38" fontId="12" fillId="3" borderId="3" xfId="1" applyFont="1" applyFill="1" applyBorder="1" applyAlignment="1">
      <alignment horizontal="center" vertical="center"/>
    </xf>
    <xf numFmtId="38" fontId="12" fillId="3" borderId="6" xfId="1" applyFont="1" applyFill="1" applyBorder="1" applyAlignment="1">
      <alignment horizontal="center" vertical="center"/>
    </xf>
    <xf numFmtId="38" fontId="12" fillId="3" borderId="17" xfId="1" applyFont="1" applyFill="1" applyBorder="1" applyAlignment="1">
      <alignment horizontal="center" vertical="center"/>
    </xf>
    <xf numFmtId="38" fontId="12" fillId="14" borderId="2" xfId="1" applyFont="1" applyFill="1" applyBorder="1" applyAlignment="1">
      <alignment horizontal="center" vertical="center"/>
    </xf>
    <xf numFmtId="38" fontId="12" fillId="14" borderId="3" xfId="1" applyFont="1" applyFill="1" applyBorder="1" applyAlignment="1">
      <alignment horizontal="center" vertical="center"/>
    </xf>
    <xf numFmtId="38" fontId="12" fillId="14" borderId="16" xfId="1" applyFont="1" applyFill="1" applyBorder="1" applyAlignment="1">
      <alignment horizontal="center" vertical="center"/>
    </xf>
    <xf numFmtId="38" fontId="12" fillId="14" borderId="17" xfId="1" applyFont="1" applyFill="1" applyBorder="1" applyAlignment="1">
      <alignment horizontal="center" vertical="center"/>
    </xf>
    <xf numFmtId="38" fontId="12" fillId="7" borderId="2" xfId="1" applyFont="1" applyFill="1" applyBorder="1" applyAlignment="1">
      <alignment horizontal="center" vertical="center"/>
    </xf>
    <xf numFmtId="38" fontId="12" fillId="7" borderId="13" xfId="1" applyFont="1" applyFill="1" applyBorder="1" applyAlignment="1">
      <alignment horizontal="center" vertical="center"/>
    </xf>
    <xf numFmtId="38" fontId="12" fillId="7" borderId="3" xfId="1" applyFont="1" applyFill="1" applyBorder="1" applyAlignment="1">
      <alignment horizontal="center" vertical="center"/>
    </xf>
    <xf numFmtId="38" fontId="12" fillId="7" borderId="16" xfId="1" applyFont="1" applyFill="1" applyBorder="1" applyAlignment="1">
      <alignment horizontal="center" vertical="center"/>
    </xf>
    <xf numFmtId="38" fontId="12" fillId="7" borderId="6" xfId="1" applyFont="1" applyFill="1" applyBorder="1" applyAlignment="1">
      <alignment horizontal="center" vertical="center"/>
    </xf>
    <xf numFmtId="38" fontId="12" fillId="7" borderId="17" xfId="1" applyFont="1" applyFill="1" applyBorder="1" applyAlignment="1">
      <alignment horizontal="center" vertical="center"/>
    </xf>
    <xf numFmtId="38" fontId="12" fillId="8" borderId="2" xfId="1" applyFont="1" applyFill="1" applyBorder="1" applyAlignment="1">
      <alignment horizontal="center" vertical="center"/>
    </xf>
    <xf numFmtId="38" fontId="12" fillId="8" borderId="13" xfId="1" applyFont="1" applyFill="1" applyBorder="1" applyAlignment="1">
      <alignment horizontal="center" vertical="center"/>
    </xf>
    <xf numFmtId="38" fontId="12" fillId="8" borderId="3" xfId="1" applyFont="1" applyFill="1" applyBorder="1" applyAlignment="1">
      <alignment horizontal="center" vertical="center"/>
    </xf>
    <xf numFmtId="38" fontId="12" fillId="8" borderId="16" xfId="1" applyFont="1" applyFill="1" applyBorder="1" applyAlignment="1">
      <alignment horizontal="center" vertical="center"/>
    </xf>
    <xf numFmtId="38" fontId="12" fillId="8" borderId="6" xfId="1" applyFont="1" applyFill="1" applyBorder="1" applyAlignment="1">
      <alignment horizontal="center" vertical="center"/>
    </xf>
    <xf numFmtId="38" fontId="12" fillId="8" borderId="17" xfId="1" applyFont="1" applyFill="1" applyBorder="1" applyAlignment="1">
      <alignment horizontal="center" vertical="center"/>
    </xf>
    <xf numFmtId="38" fontId="12" fillId="9" borderId="1" xfId="1" applyFont="1" applyFill="1" applyBorder="1" applyAlignment="1">
      <alignment horizontal="center" vertical="center"/>
    </xf>
    <xf numFmtId="38" fontId="18" fillId="0" borderId="1" xfId="1" applyFont="1" applyBorder="1" applyAlignment="1">
      <alignment horizontal="center" vertical="center"/>
    </xf>
    <xf numFmtId="38" fontId="37" fillId="0" borderId="1" xfId="1" applyFont="1" applyBorder="1" applyAlignment="1">
      <alignment horizontal="center" vertical="center"/>
    </xf>
    <xf numFmtId="38" fontId="37" fillId="0" borderId="36" xfId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38" fontId="37" fillId="0" borderId="32" xfId="1" applyFont="1" applyBorder="1" applyAlignment="1">
      <alignment horizontal="center" vertical="center"/>
    </xf>
    <xf numFmtId="38" fontId="37" fillId="0" borderId="33" xfId="1" applyFont="1" applyBorder="1" applyAlignment="1">
      <alignment horizontal="center" vertical="center"/>
    </xf>
    <xf numFmtId="38" fontId="37" fillId="0" borderId="41" xfId="1" applyFont="1" applyBorder="1" applyAlignment="1">
      <alignment horizontal="center" vertical="center"/>
    </xf>
    <xf numFmtId="38" fontId="37" fillId="0" borderId="42" xfId="1" applyFont="1" applyBorder="1" applyAlignment="1">
      <alignment horizontal="center" vertical="center"/>
    </xf>
    <xf numFmtId="38" fontId="18" fillId="2" borderId="1" xfId="1" applyFont="1" applyFill="1" applyBorder="1" applyAlignment="1">
      <alignment horizontal="center" vertical="center"/>
    </xf>
    <xf numFmtId="38" fontId="18" fillId="4" borderId="1" xfId="1" applyFont="1" applyFill="1" applyBorder="1" applyAlignment="1">
      <alignment horizontal="center" vertical="center"/>
    </xf>
    <xf numFmtId="38" fontId="18" fillId="5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81EF9B"/>
      <color rgb="FF009999"/>
      <color rgb="FF99CC00"/>
      <color rgb="FFF4A6DE"/>
      <color rgb="FF00CCFF"/>
      <color rgb="FFFFFF66"/>
      <color rgb="FF66FF33"/>
      <color rgb="FFCCFF66"/>
      <color rgb="FFFF9966"/>
      <color rgb="FFFB57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49</xdr:col>
      <xdr:colOff>238126</xdr:colOff>
      <xdr:row>65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7C586F-D036-423C-A67C-5A5AAD946E05}"/>
            </a:ext>
          </a:extLst>
        </xdr:cNvPr>
        <xdr:cNvSpPr txBox="1"/>
      </xdr:nvSpPr>
      <xdr:spPr>
        <a:xfrm>
          <a:off x="0" y="0"/>
          <a:ext cx="36664447" cy="14872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600"/>
            <a:t>修正不可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D111"/>
  <sheetViews>
    <sheetView tabSelected="1" view="pageBreakPreview" zoomScale="40" zoomScaleNormal="100" zoomScaleSheetLayoutView="40" zoomScalePageLayoutView="40" workbookViewId="0">
      <selection activeCell="N3" sqref="N3:AE30"/>
    </sheetView>
  </sheetViews>
  <sheetFormatPr defaultRowHeight="18.75" x14ac:dyDescent="0.15"/>
  <cols>
    <col min="1" max="1" width="18.25" style="1" customWidth="1"/>
    <col min="2" max="4" width="11.625" style="1" customWidth="1"/>
    <col min="5" max="5" width="13.625" style="1" customWidth="1"/>
    <col min="6" max="7" width="11.625" style="1" customWidth="1"/>
    <col min="8" max="8" width="12.75" style="1" customWidth="1"/>
    <col min="9" max="9" width="13.5" style="1" customWidth="1"/>
    <col min="10" max="12" width="11.625" style="1" customWidth="1"/>
    <col min="13" max="13" width="17.375" style="1" customWidth="1"/>
    <col min="14" max="14" width="7.625" style="1" customWidth="1"/>
    <col min="15" max="20" width="11.75" style="1" customWidth="1"/>
    <col min="21" max="26" width="11.75" style="7" customWidth="1"/>
    <col min="27" max="29" width="11.75" style="18" customWidth="1"/>
    <col min="30" max="32" width="11.75" style="23" customWidth="1"/>
    <col min="33" max="33" width="10" style="18" customWidth="1"/>
    <col min="34" max="34" width="9.625" style="19" customWidth="1"/>
    <col min="35" max="35" width="9.375" style="19" customWidth="1"/>
    <col min="36" max="36" width="11.625" style="19" customWidth="1"/>
    <col min="37" max="38" width="9.625" style="19" customWidth="1"/>
    <col min="39" max="39" width="11.625" style="19" customWidth="1"/>
    <col min="40" max="41" width="8.375" style="19" customWidth="1"/>
    <col min="42" max="42" width="12.5" style="19" customWidth="1"/>
    <col min="43" max="43" width="12.25" style="19" customWidth="1"/>
    <col min="44" max="44" width="12.125" style="19" customWidth="1"/>
    <col min="45" max="45" width="12.875" style="19" customWidth="1"/>
    <col min="46" max="46" width="15.375" style="19" customWidth="1"/>
    <col min="47" max="47" width="10.625" style="19" customWidth="1"/>
    <col min="48" max="56" width="9" style="19"/>
    <col min="57" max="57" width="20.875" style="1" customWidth="1"/>
    <col min="58" max="16384" width="9" style="1"/>
  </cols>
  <sheetData>
    <row r="1" spans="1:56" ht="62.25" customHeight="1" x14ac:dyDescent="0.15">
      <c r="B1" s="48" t="s">
        <v>78</v>
      </c>
      <c r="O1" s="41" t="s">
        <v>147</v>
      </c>
    </row>
    <row r="2" spans="1:56" ht="36.75" customHeight="1" thickBot="1" x14ac:dyDescent="0.2">
      <c r="B2" s="57"/>
      <c r="C2" s="57"/>
      <c r="D2" s="57"/>
      <c r="E2" s="187" t="s">
        <v>38</v>
      </c>
      <c r="F2" s="187"/>
      <c r="G2" s="66"/>
      <c r="H2" s="16"/>
      <c r="I2" s="16"/>
      <c r="J2" s="16"/>
      <c r="K2" s="16"/>
      <c r="L2" s="16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7.75" customHeight="1" x14ac:dyDescent="0.15">
      <c r="A3" s="68" t="s">
        <v>56</v>
      </c>
      <c r="B3" s="69" t="s">
        <v>57</v>
      </c>
      <c r="C3" s="188" t="s">
        <v>58</v>
      </c>
      <c r="D3" s="188"/>
      <c r="E3" s="189" t="s">
        <v>59</v>
      </c>
      <c r="F3" s="189"/>
      <c r="G3" s="190" t="s">
        <v>60</v>
      </c>
      <c r="H3" s="190"/>
      <c r="I3" s="70" t="s">
        <v>61</v>
      </c>
      <c r="J3" s="74" t="s">
        <v>140</v>
      </c>
      <c r="K3" s="74" t="s">
        <v>144</v>
      </c>
      <c r="L3" s="220" t="s">
        <v>90</v>
      </c>
      <c r="M3" s="26"/>
      <c r="N3" s="85" t="s">
        <v>148</v>
      </c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27.75" customHeight="1" x14ac:dyDescent="0.15">
      <c r="A4" s="86" t="s">
        <v>42</v>
      </c>
      <c r="B4" s="90" t="s">
        <v>21</v>
      </c>
      <c r="C4" s="87" t="s">
        <v>9</v>
      </c>
      <c r="D4" s="91" t="s">
        <v>41</v>
      </c>
      <c r="E4" s="92" t="s">
        <v>26</v>
      </c>
      <c r="F4" s="92" t="s">
        <v>40</v>
      </c>
      <c r="G4" s="88" t="s">
        <v>4</v>
      </c>
      <c r="H4" s="88"/>
      <c r="I4" s="88" t="s">
        <v>6</v>
      </c>
      <c r="J4" s="225" t="s">
        <v>141</v>
      </c>
      <c r="K4" s="84" t="s">
        <v>142</v>
      </c>
      <c r="L4" s="221"/>
      <c r="M4" s="26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26.25" customHeight="1" x14ac:dyDescent="0.15">
      <c r="A5" s="86"/>
      <c r="B5" s="90"/>
      <c r="C5" s="87"/>
      <c r="D5" s="91"/>
      <c r="E5" s="92"/>
      <c r="F5" s="92"/>
      <c r="G5" s="88"/>
      <c r="H5" s="88"/>
      <c r="I5" s="88"/>
      <c r="J5" s="226"/>
      <c r="K5" s="84"/>
      <c r="L5" s="221"/>
      <c r="M5" s="26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21" customHeight="1" x14ac:dyDescent="0.15">
      <c r="A6" s="71" t="s">
        <v>14</v>
      </c>
      <c r="B6" s="87" t="s">
        <v>92</v>
      </c>
      <c r="C6" s="87"/>
      <c r="D6" s="88"/>
      <c r="E6" s="89"/>
      <c r="F6" s="89"/>
      <c r="G6" s="88"/>
      <c r="H6" s="88"/>
      <c r="I6" s="87"/>
      <c r="J6" s="80"/>
      <c r="K6" s="80" t="s">
        <v>92</v>
      </c>
      <c r="L6" s="217">
        <f>修正不可!AT6</f>
        <v>0</v>
      </c>
      <c r="M6" s="2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21" customHeight="1" x14ac:dyDescent="0.15">
      <c r="A7" s="93"/>
      <c r="B7" s="87"/>
      <c r="C7" s="87"/>
      <c r="D7" s="88"/>
      <c r="E7" s="89"/>
      <c r="F7" s="89"/>
      <c r="G7" s="88"/>
      <c r="H7" s="88"/>
      <c r="I7" s="87"/>
      <c r="J7" s="81"/>
      <c r="K7" s="81"/>
      <c r="L7" s="217"/>
      <c r="M7" s="2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21" customHeight="1" x14ac:dyDescent="0.15">
      <c r="A8" s="93"/>
      <c r="B8" s="87"/>
      <c r="C8" s="87"/>
      <c r="D8" s="88"/>
      <c r="E8" s="89"/>
      <c r="F8" s="89"/>
      <c r="G8" s="88"/>
      <c r="H8" s="88"/>
      <c r="I8" s="87"/>
      <c r="J8" s="82"/>
      <c r="K8" s="82"/>
      <c r="L8" s="217"/>
      <c r="M8" s="2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21" customHeight="1" x14ac:dyDescent="0.15">
      <c r="A9" s="93"/>
      <c r="B9" s="191"/>
      <c r="C9" s="87"/>
      <c r="D9" s="88"/>
      <c r="E9" s="89"/>
      <c r="F9" s="89"/>
      <c r="G9" s="88"/>
      <c r="H9" s="88"/>
      <c r="I9" s="87"/>
      <c r="J9" s="80" t="s">
        <v>92</v>
      </c>
      <c r="K9" s="80" t="s">
        <v>92</v>
      </c>
      <c r="L9" s="217">
        <f>修正不可!AT9</f>
        <v>0</v>
      </c>
      <c r="M9" s="2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21" customHeight="1" x14ac:dyDescent="0.15">
      <c r="A10" s="93"/>
      <c r="B10" s="192"/>
      <c r="C10" s="87"/>
      <c r="D10" s="88"/>
      <c r="E10" s="89"/>
      <c r="F10" s="89"/>
      <c r="G10" s="88"/>
      <c r="H10" s="88"/>
      <c r="I10" s="87"/>
      <c r="J10" s="81"/>
      <c r="K10" s="81"/>
      <c r="L10" s="217"/>
      <c r="M10" s="2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21" customHeight="1" x14ac:dyDescent="0.15">
      <c r="A11" s="93"/>
      <c r="B11" s="192"/>
      <c r="C11" s="87"/>
      <c r="D11" s="88"/>
      <c r="E11" s="89"/>
      <c r="F11" s="89"/>
      <c r="G11" s="88"/>
      <c r="H11" s="88"/>
      <c r="I11" s="87"/>
      <c r="J11" s="82"/>
      <c r="K11" s="82"/>
      <c r="L11" s="217"/>
      <c r="M11" s="2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21" customHeight="1" x14ac:dyDescent="0.15">
      <c r="A12" s="93"/>
      <c r="B12" s="192"/>
      <c r="C12" s="87"/>
      <c r="D12" s="88"/>
      <c r="E12" s="89"/>
      <c r="F12" s="89"/>
      <c r="G12" s="88"/>
      <c r="H12" s="88"/>
      <c r="I12" s="87" t="s">
        <v>92</v>
      </c>
      <c r="J12" s="80" t="s">
        <v>92</v>
      </c>
      <c r="K12" s="80"/>
      <c r="L12" s="217">
        <f>修正不可!AT12</f>
        <v>0</v>
      </c>
      <c r="M12" s="2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21" customHeight="1" x14ac:dyDescent="0.15">
      <c r="A13" s="93"/>
      <c r="B13" s="192"/>
      <c r="C13" s="87"/>
      <c r="D13" s="88"/>
      <c r="E13" s="89"/>
      <c r="F13" s="89"/>
      <c r="G13" s="88"/>
      <c r="H13" s="88"/>
      <c r="I13" s="87"/>
      <c r="J13" s="81"/>
      <c r="K13" s="81"/>
      <c r="L13" s="217"/>
      <c r="M13" s="2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21" customHeight="1" x14ac:dyDescent="0.15">
      <c r="A14" s="93"/>
      <c r="B14" s="192"/>
      <c r="C14" s="87"/>
      <c r="D14" s="88"/>
      <c r="E14" s="89"/>
      <c r="F14" s="89"/>
      <c r="G14" s="88"/>
      <c r="H14" s="88"/>
      <c r="I14" s="87"/>
      <c r="J14" s="82"/>
      <c r="K14" s="82"/>
      <c r="L14" s="217"/>
      <c r="M14" s="2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21" customHeight="1" x14ac:dyDescent="0.15">
      <c r="A15" s="93"/>
      <c r="B15" s="192"/>
      <c r="C15" s="87"/>
      <c r="D15" s="88"/>
      <c r="E15" s="89"/>
      <c r="F15" s="89"/>
      <c r="G15" s="88"/>
      <c r="H15" s="88"/>
      <c r="I15" s="87" t="s">
        <v>92</v>
      </c>
      <c r="J15" s="80" t="s">
        <v>92</v>
      </c>
      <c r="K15" s="80"/>
      <c r="L15" s="217">
        <f>修正不可!AT15</f>
        <v>0</v>
      </c>
      <c r="M15" s="2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21" customHeight="1" x14ac:dyDescent="0.15">
      <c r="A16" s="93"/>
      <c r="B16" s="192"/>
      <c r="C16" s="87"/>
      <c r="D16" s="88"/>
      <c r="E16" s="89"/>
      <c r="F16" s="89"/>
      <c r="G16" s="88"/>
      <c r="H16" s="88"/>
      <c r="I16" s="87"/>
      <c r="J16" s="81"/>
      <c r="K16" s="81"/>
      <c r="L16" s="217"/>
      <c r="M16" s="2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21" customHeight="1" x14ac:dyDescent="0.15">
      <c r="A17" s="93"/>
      <c r="B17" s="192"/>
      <c r="C17" s="87"/>
      <c r="D17" s="88"/>
      <c r="E17" s="89"/>
      <c r="F17" s="89"/>
      <c r="G17" s="88"/>
      <c r="H17" s="88"/>
      <c r="I17" s="87"/>
      <c r="J17" s="82"/>
      <c r="K17" s="82"/>
      <c r="L17" s="217"/>
      <c r="M17" s="2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1"/>
      <c r="AG17" s="1"/>
      <c r="AH17" s="1"/>
      <c r="AI17" s="1"/>
      <c r="AJ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21" customHeight="1" x14ac:dyDescent="0.15">
      <c r="A18" s="86"/>
      <c r="B18" s="192"/>
      <c r="C18" s="87"/>
      <c r="D18" s="88"/>
      <c r="E18" s="89"/>
      <c r="F18" s="89"/>
      <c r="G18" s="88"/>
      <c r="H18" s="88"/>
      <c r="I18" s="87" t="s">
        <v>92</v>
      </c>
      <c r="J18" s="80" t="s">
        <v>92</v>
      </c>
      <c r="K18" s="80" t="s">
        <v>92</v>
      </c>
      <c r="L18" s="217">
        <f>修正不可!AT18</f>
        <v>0</v>
      </c>
      <c r="M18" s="2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1"/>
      <c r="AG18" s="1"/>
      <c r="AH18" s="1"/>
      <c r="AI18" s="1"/>
      <c r="AJ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21" customHeight="1" x14ac:dyDescent="0.15">
      <c r="A19" s="86"/>
      <c r="B19" s="192"/>
      <c r="C19" s="87"/>
      <c r="D19" s="88"/>
      <c r="E19" s="89"/>
      <c r="F19" s="89"/>
      <c r="G19" s="88"/>
      <c r="H19" s="88"/>
      <c r="I19" s="87"/>
      <c r="J19" s="81"/>
      <c r="K19" s="81"/>
      <c r="L19" s="217"/>
      <c r="M19" s="2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1"/>
      <c r="AG19" s="1"/>
      <c r="AH19" s="1"/>
      <c r="AI19" s="1"/>
      <c r="AJ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21" customHeight="1" x14ac:dyDescent="0.15">
      <c r="A20" s="86"/>
      <c r="B20" s="192"/>
      <c r="C20" s="87"/>
      <c r="D20" s="88"/>
      <c r="E20" s="89"/>
      <c r="F20" s="89"/>
      <c r="G20" s="88"/>
      <c r="H20" s="88"/>
      <c r="I20" s="87"/>
      <c r="J20" s="82"/>
      <c r="K20" s="82"/>
      <c r="L20" s="217"/>
      <c r="M20" s="2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1"/>
      <c r="AG20" s="1"/>
      <c r="AH20" s="1"/>
      <c r="AI20" s="1"/>
      <c r="AJ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21" customHeight="1" x14ac:dyDescent="0.15">
      <c r="A21" s="86"/>
      <c r="B21" s="192"/>
      <c r="C21" s="87"/>
      <c r="D21" s="88"/>
      <c r="E21" s="89"/>
      <c r="F21" s="89"/>
      <c r="G21" s="88"/>
      <c r="H21" s="88"/>
      <c r="I21" s="87" t="s">
        <v>92</v>
      </c>
      <c r="J21" s="80" t="s">
        <v>92</v>
      </c>
      <c r="K21" s="80" t="s">
        <v>92</v>
      </c>
      <c r="L21" s="217">
        <f>修正不可!AT21</f>
        <v>0</v>
      </c>
      <c r="M21" s="2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1"/>
      <c r="AG21" s="1"/>
      <c r="AH21" s="1"/>
      <c r="AI21" s="1"/>
      <c r="AJ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1" customHeight="1" x14ac:dyDescent="0.15">
      <c r="A22" s="86"/>
      <c r="B22" s="192"/>
      <c r="C22" s="87"/>
      <c r="D22" s="88"/>
      <c r="E22" s="89"/>
      <c r="F22" s="89"/>
      <c r="G22" s="88"/>
      <c r="H22" s="88"/>
      <c r="I22" s="87"/>
      <c r="J22" s="81"/>
      <c r="K22" s="81"/>
      <c r="L22" s="217"/>
      <c r="M22" s="2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1"/>
      <c r="AG22" s="1"/>
      <c r="AH22" s="1"/>
      <c r="AI22" s="1"/>
      <c r="AJ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21" customHeight="1" x14ac:dyDescent="0.15">
      <c r="A23" s="86"/>
      <c r="B23" s="192"/>
      <c r="C23" s="87"/>
      <c r="D23" s="88"/>
      <c r="E23" s="89"/>
      <c r="F23" s="89"/>
      <c r="G23" s="88"/>
      <c r="H23" s="88"/>
      <c r="I23" s="87"/>
      <c r="J23" s="82"/>
      <c r="K23" s="82"/>
      <c r="L23" s="217"/>
      <c r="M23" s="2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1"/>
      <c r="AG23" s="1"/>
      <c r="AH23" s="1"/>
      <c r="AI23" s="1"/>
      <c r="AJ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21" customHeight="1" x14ac:dyDescent="0.15">
      <c r="A24" s="86"/>
      <c r="B24" s="192"/>
      <c r="C24" s="87"/>
      <c r="D24" s="88"/>
      <c r="E24" s="89"/>
      <c r="F24" s="89"/>
      <c r="G24" s="88"/>
      <c r="H24" s="88"/>
      <c r="I24" s="87" t="s">
        <v>92</v>
      </c>
      <c r="J24" s="80" t="s">
        <v>92</v>
      </c>
      <c r="K24" s="80" t="s">
        <v>92</v>
      </c>
      <c r="L24" s="217">
        <f>修正不可!AT24</f>
        <v>0</v>
      </c>
      <c r="M24" s="2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1"/>
      <c r="AG24" s="1"/>
      <c r="AH24" s="1"/>
      <c r="AI24" s="1"/>
      <c r="AJ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21" customHeight="1" x14ac:dyDescent="0.15">
      <c r="A25" s="86"/>
      <c r="B25" s="192"/>
      <c r="C25" s="87"/>
      <c r="D25" s="88"/>
      <c r="E25" s="89"/>
      <c r="F25" s="89"/>
      <c r="G25" s="88"/>
      <c r="H25" s="88"/>
      <c r="I25" s="87"/>
      <c r="J25" s="81"/>
      <c r="K25" s="81"/>
      <c r="L25" s="217"/>
      <c r="M25" s="2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1"/>
      <c r="AG25" s="1"/>
      <c r="AH25" s="1"/>
      <c r="AI25" s="1"/>
      <c r="AJ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21" customHeight="1" thickBot="1" x14ac:dyDescent="0.2">
      <c r="A26" s="207"/>
      <c r="B26" s="193"/>
      <c r="C26" s="195"/>
      <c r="D26" s="194"/>
      <c r="E26" s="186"/>
      <c r="F26" s="186"/>
      <c r="G26" s="194"/>
      <c r="H26" s="194"/>
      <c r="I26" s="195"/>
      <c r="J26" s="83"/>
      <c r="K26" s="83"/>
      <c r="L26" s="218"/>
      <c r="M26" s="2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1"/>
      <c r="AG26" s="1"/>
      <c r="AH26" s="1"/>
      <c r="AI26" s="1"/>
      <c r="AJ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s="33" customFormat="1" ht="24" hidden="1" customHeight="1" x14ac:dyDescent="0.15">
      <c r="A27" s="32"/>
      <c r="B27" s="182">
        <f>COUNTIF(B6:B26,"○")</f>
        <v>0</v>
      </c>
      <c r="C27" s="182">
        <f>COUNTIF(C6:C26,"○")</f>
        <v>0</v>
      </c>
      <c r="D27" s="182">
        <f>MAX(D6:D26)</f>
        <v>0</v>
      </c>
      <c r="E27" s="182">
        <f>COUNTIF(E6:E26,"○")</f>
        <v>0</v>
      </c>
      <c r="I27" s="21"/>
      <c r="J27" s="21"/>
      <c r="K27" s="21"/>
      <c r="L27" s="21"/>
      <c r="M27" s="19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56"/>
    </row>
    <row r="28" spans="1:56" s="33" customFormat="1" ht="24" hidden="1" customHeight="1" x14ac:dyDescent="0.15">
      <c r="A28" s="32"/>
      <c r="B28" s="182"/>
      <c r="C28" s="182"/>
      <c r="D28" s="183"/>
      <c r="E28" s="182"/>
      <c r="I28" s="21"/>
      <c r="J28" s="21"/>
      <c r="K28" s="21"/>
      <c r="L28" s="21"/>
      <c r="M28" s="19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56"/>
    </row>
    <row r="29" spans="1:56" ht="19.5" customHeight="1" x14ac:dyDescent="0.15">
      <c r="D29" s="184" t="s">
        <v>44</v>
      </c>
      <c r="E29" s="184"/>
      <c r="F29" s="185">
        <f>SUM(修正不可!C5:D25)</f>
        <v>0</v>
      </c>
      <c r="G29" s="185"/>
      <c r="H29" s="185"/>
      <c r="I29" s="185"/>
      <c r="J29" s="185"/>
      <c r="K29" s="227"/>
      <c r="L29" s="76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1"/>
      <c r="AG29" s="1"/>
      <c r="AH29" s="1"/>
      <c r="AI29" s="1"/>
      <c r="AJ29" s="1"/>
      <c r="AK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31.5" customHeight="1" x14ac:dyDescent="0.15">
      <c r="D30" s="184"/>
      <c r="E30" s="184"/>
      <c r="F30" s="185"/>
      <c r="G30" s="185"/>
      <c r="H30" s="185"/>
      <c r="I30" s="185"/>
      <c r="J30" s="185"/>
      <c r="K30" s="227"/>
      <c r="L30" s="76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H30" s="18"/>
      <c r="AI30" s="18"/>
      <c r="AJ30" s="18"/>
      <c r="AK30" s="18"/>
    </row>
    <row r="31" spans="1:56" ht="34.5" customHeight="1" x14ac:dyDescent="0.15">
      <c r="D31" s="75"/>
      <c r="E31" s="75"/>
      <c r="F31" s="76"/>
      <c r="G31" s="76"/>
      <c r="H31" s="76"/>
      <c r="I31" s="76"/>
      <c r="J31" s="76">
        <f>COUNTIF(J6:J26,"○")</f>
        <v>0</v>
      </c>
      <c r="L31" s="76"/>
      <c r="O31" s="46"/>
      <c r="V31" s="1"/>
      <c r="W31" s="1"/>
      <c r="X31" s="1"/>
      <c r="Y31" s="1"/>
      <c r="Z31" s="1"/>
      <c r="AH31" s="18"/>
      <c r="AI31" s="18"/>
      <c r="AJ31" s="18"/>
      <c r="AK31" s="18"/>
    </row>
    <row r="32" spans="1:56" ht="19.5" customHeight="1" x14ac:dyDescent="0.15">
      <c r="A32" s="9"/>
      <c r="B32" s="9"/>
      <c r="C32" s="9"/>
      <c r="D32" s="9"/>
      <c r="F32" s="9"/>
      <c r="G32" s="9"/>
      <c r="H32" s="9"/>
      <c r="I32" s="9"/>
      <c r="J32" s="9"/>
      <c r="K32" s="9"/>
      <c r="L32" s="9"/>
      <c r="M32" s="9"/>
      <c r="N32" s="9"/>
      <c r="P32" s="204" t="s">
        <v>149</v>
      </c>
      <c r="Q32" s="205"/>
      <c r="R32" s="205"/>
      <c r="S32" s="205"/>
      <c r="T32" s="205"/>
      <c r="U32" s="205"/>
      <c r="V32" s="1"/>
      <c r="W32" s="1"/>
      <c r="X32" s="1"/>
      <c r="Y32" s="1"/>
      <c r="Z32" s="1"/>
      <c r="AH32" s="18"/>
      <c r="AI32" s="18"/>
      <c r="AJ32" s="18"/>
      <c r="AK32" s="18"/>
    </row>
    <row r="33" spans="1:56" ht="19.5" customHeight="1" x14ac:dyDescent="0.15">
      <c r="C33" s="166" t="s">
        <v>2</v>
      </c>
      <c r="D33" s="167"/>
      <c r="E33" s="4"/>
      <c r="F33" s="170" t="s">
        <v>46</v>
      </c>
      <c r="G33" s="171"/>
      <c r="H33" s="172"/>
      <c r="I33" s="4"/>
      <c r="J33" s="176" t="s">
        <v>47</v>
      </c>
      <c r="K33" s="177"/>
      <c r="L33" s="177"/>
      <c r="M33" s="178"/>
      <c r="N33" s="11"/>
      <c r="P33" s="205"/>
      <c r="Q33" s="205"/>
      <c r="R33" s="205"/>
      <c r="S33" s="205"/>
      <c r="T33" s="205"/>
      <c r="U33" s="205"/>
      <c r="V33" s="1"/>
      <c r="W33" s="1"/>
      <c r="X33" s="1"/>
      <c r="Y33" s="1"/>
      <c r="Z33" s="1"/>
    </row>
    <row r="34" spans="1:56" ht="19.5" customHeight="1" x14ac:dyDescent="0.15">
      <c r="C34" s="168"/>
      <c r="D34" s="169"/>
      <c r="E34" s="4"/>
      <c r="F34" s="173"/>
      <c r="G34" s="174"/>
      <c r="H34" s="175"/>
      <c r="I34" s="4"/>
      <c r="J34" s="179"/>
      <c r="K34" s="180"/>
      <c r="L34" s="180"/>
      <c r="M34" s="181"/>
      <c r="N34" s="11"/>
      <c r="P34" s="206"/>
      <c r="Q34" s="206"/>
      <c r="R34" s="206"/>
      <c r="S34" s="206"/>
      <c r="T34" s="206"/>
      <c r="U34" s="206"/>
      <c r="V34" s="18"/>
      <c r="W34" s="18"/>
      <c r="X34" s="1"/>
      <c r="Y34" s="1"/>
      <c r="Z34" s="1"/>
    </row>
    <row r="35" spans="1:56" ht="19.5" customHeight="1" x14ac:dyDescent="0.15">
      <c r="C35" s="168"/>
      <c r="D35" s="169"/>
      <c r="E35" s="4"/>
      <c r="F35" s="173"/>
      <c r="G35" s="174"/>
      <c r="H35" s="175"/>
      <c r="I35" s="4"/>
      <c r="J35" s="179"/>
      <c r="K35" s="180"/>
      <c r="L35" s="180"/>
      <c r="M35" s="181"/>
      <c r="N35" s="11"/>
      <c r="P35" s="222" t="s">
        <v>49</v>
      </c>
      <c r="Q35" s="222"/>
      <c r="R35" s="222"/>
      <c r="S35" s="222"/>
      <c r="T35" s="222"/>
      <c r="U35" s="222"/>
      <c r="V35" s="18"/>
      <c r="W35" s="18"/>
      <c r="X35" s="1"/>
      <c r="Y35" s="1"/>
      <c r="Z35" s="1"/>
    </row>
    <row r="36" spans="1:56" ht="19.5" customHeight="1" x14ac:dyDescent="0.15">
      <c r="A36" s="140" t="s">
        <v>64</v>
      </c>
      <c r="B36" s="141"/>
      <c r="C36" s="107">
        <f>修正不可!F5+修正不可!F8+修正不可!F11+修正不可!F14+修正不可!F17+修正不可!F20+修正不可!F23</f>
        <v>0</v>
      </c>
      <c r="D36" s="108"/>
      <c r="E36" s="142"/>
      <c r="F36" s="143">
        <f>修正不可!F6+修正不可!F9+修正不可!F12+修正不可!F15+修正不可!F18+修正不可!F21+修正不可!F24</f>
        <v>0</v>
      </c>
      <c r="G36" s="144"/>
      <c r="H36" s="145"/>
      <c r="I36" s="149"/>
      <c r="J36" s="160">
        <f>修正不可!F7+修正不可!F10+修正不可!F13+修正不可!F16+修正不可!F19+修正不可!K22+修正不可!K25</f>
        <v>0</v>
      </c>
      <c r="K36" s="161"/>
      <c r="L36" s="161"/>
      <c r="M36" s="162"/>
      <c r="N36" s="63"/>
      <c r="P36" s="198">
        <v>6.8000000000000005E-2</v>
      </c>
      <c r="Q36" s="199"/>
      <c r="R36" s="223">
        <v>1.7000000000000001E-2</v>
      </c>
      <c r="S36" s="223"/>
      <c r="T36" s="223">
        <v>1.4999999999999999E-2</v>
      </c>
      <c r="U36" s="223"/>
      <c r="V36" s="18"/>
      <c r="W36" s="18"/>
      <c r="X36" s="1"/>
      <c r="Y36" s="1"/>
      <c r="Z36" s="1"/>
      <c r="AD36" s="18"/>
      <c r="AE36" s="19"/>
      <c r="AF36" s="19"/>
      <c r="AG36" s="19"/>
    </row>
    <row r="37" spans="1:56" ht="19.5" customHeight="1" x14ac:dyDescent="0.15">
      <c r="A37" s="141"/>
      <c r="B37" s="141"/>
      <c r="C37" s="109"/>
      <c r="D37" s="110"/>
      <c r="E37" s="142"/>
      <c r="F37" s="146"/>
      <c r="G37" s="147"/>
      <c r="H37" s="148"/>
      <c r="I37" s="149"/>
      <c r="J37" s="163"/>
      <c r="K37" s="164"/>
      <c r="L37" s="164"/>
      <c r="M37" s="165"/>
      <c r="N37" s="63"/>
      <c r="P37" s="200"/>
      <c r="Q37" s="201"/>
      <c r="R37" s="223"/>
      <c r="S37" s="223"/>
      <c r="T37" s="223"/>
      <c r="U37" s="223"/>
      <c r="V37" s="18"/>
      <c r="W37" s="18"/>
      <c r="X37" s="1"/>
      <c r="Y37" s="1"/>
      <c r="Z37" s="1"/>
      <c r="AD37" s="18"/>
      <c r="AE37" s="19"/>
      <c r="AF37" s="19"/>
      <c r="AG37" s="19"/>
    </row>
    <row r="38" spans="1:56" ht="19.5" customHeight="1" x14ac:dyDescent="0.15">
      <c r="A38" s="141"/>
      <c r="B38" s="141"/>
      <c r="C38" s="109"/>
      <c r="D38" s="110"/>
      <c r="E38" s="142"/>
      <c r="F38" s="146"/>
      <c r="G38" s="147"/>
      <c r="H38" s="148"/>
      <c r="I38" s="149"/>
      <c r="J38" s="163"/>
      <c r="K38" s="164"/>
      <c r="L38" s="164"/>
      <c r="M38" s="165"/>
      <c r="N38" s="63"/>
      <c r="P38" s="202"/>
      <c r="Q38" s="203"/>
      <c r="R38" s="223"/>
      <c r="S38" s="223"/>
      <c r="T38" s="223"/>
      <c r="U38" s="223"/>
      <c r="V38" s="18"/>
      <c r="W38" s="18"/>
      <c r="X38" s="1"/>
      <c r="Y38" s="1"/>
      <c r="Z38" s="1"/>
      <c r="AD38" s="18"/>
      <c r="AE38" s="19"/>
      <c r="AF38" s="19"/>
      <c r="AG38" s="19"/>
    </row>
    <row r="39" spans="1:56" ht="30.75" customHeight="1" x14ac:dyDescent="0.15">
      <c r="C39" s="150" t="s">
        <v>0</v>
      </c>
      <c r="D39" s="150"/>
      <c r="F39" s="133" t="s">
        <v>0</v>
      </c>
      <c r="G39" s="133"/>
      <c r="H39" s="133"/>
      <c r="J39" s="134" t="s">
        <v>0</v>
      </c>
      <c r="K39" s="134"/>
      <c r="L39" s="134"/>
      <c r="M39" s="134"/>
      <c r="N39" s="64"/>
      <c r="P39" s="224" t="s">
        <v>8</v>
      </c>
      <c r="Q39" s="224"/>
      <c r="R39" s="224"/>
      <c r="S39" s="224"/>
      <c r="T39" s="224"/>
      <c r="U39" s="224"/>
      <c r="V39" s="18"/>
      <c r="W39" s="18"/>
      <c r="X39" s="1"/>
      <c r="Y39" s="1"/>
      <c r="Z39" s="1"/>
      <c r="AD39" s="18"/>
      <c r="AE39" s="19"/>
      <c r="AF39" s="19"/>
      <c r="AG39" s="19"/>
    </row>
    <row r="40" spans="1:56" ht="19.5" customHeight="1" x14ac:dyDescent="0.15">
      <c r="A40" s="151" t="s">
        <v>65</v>
      </c>
      <c r="B40" s="152"/>
      <c r="C40" s="153">
        <f>修正不可!K5+修正不可!K8+修正不可!K11+修正不可!K14+修正不可!K17+修正不可!K20+修正不可!K23</f>
        <v>0</v>
      </c>
      <c r="D40" s="129"/>
      <c r="E40" s="6"/>
      <c r="F40" s="143">
        <f>修正不可!K6+修正不可!K9+修正不可!K12+修正不可!K15+修正不可!K18+修正不可!K21+修正不可!K24</f>
        <v>0</v>
      </c>
      <c r="G40" s="144"/>
      <c r="H40" s="145"/>
      <c r="I40" s="6"/>
      <c r="J40" s="154">
        <f>修正不可!K7+修正不可!K10+修正不可!K13+修正不可!K16+修正不可!K19+修正不可!K22+修正不可!K25</f>
        <v>0</v>
      </c>
      <c r="K40" s="155"/>
      <c r="L40" s="155"/>
      <c r="M40" s="156"/>
      <c r="N40" s="65"/>
      <c r="P40" s="197">
        <v>18500</v>
      </c>
      <c r="Q40" s="197"/>
      <c r="R40" s="197">
        <v>7000</v>
      </c>
      <c r="S40" s="197"/>
      <c r="T40" s="197">
        <v>12000</v>
      </c>
      <c r="U40" s="197"/>
      <c r="V40" s="18"/>
      <c r="W40" s="18"/>
      <c r="X40" s="1"/>
      <c r="Y40" s="1"/>
      <c r="Z40" s="1"/>
      <c r="AF40" s="18"/>
      <c r="AG40" s="19"/>
    </row>
    <row r="41" spans="1:56" ht="18.75" customHeight="1" x14ac:dyDescent="0.15">
      <c r="A41" s="152"/>
      <c r="B41" s="152"/>
      <c r="C41" s="129"/>
      <c r="D41" s="129"/>
      <c r="E41" s="2"/>
      <c r="F41" s="146"/>
      <c r="G41" s="147"/>
      <c r="H41" s="148"/>
      <c r="I41" s="2"/>
      <c r="J41" s="157"/>
      <c r="K41" s="158"/>
      <c r="L41" s="158"/>
      <c r="M41" s="159"/>
      <c r="N41" s="65"/>
      <c r="P41" s="197"/>
      <c r="Q41" s="197"/>
      <c r="R41" s="197"/>
      <c r="S41" s="197"/>
      <c r="T41" s="197"/>
      <c r="U41" s="197"/>
      <c r="V41" s="18"/>
      <c r="W41" s="18"/>
      <c r="X41" s="1"/>
      <c r="Y41" s="1"/>
      <c r="Z41" s="1"/>
      <c r="AF41" s="18"/>
      <c r="AG41" s="19"/>
    </row>
    <row r="42" spans="1:56" ht="18.75" customHeight="1" x14ac:dyDescent="0.15">
      <c r="A42" s="152"/>
      <c r="B42" s="152"/>
      <c r="C42" s="129"/>
      <c r="D42" s="129"/>
      <c r="E42" s="2"/>
      <c r="F42" s="146"/>
      <c r="G42" s="147"/>
      <c r="H42" s="148"/>
      <c r="I42" s="2"/>
      <c r="J42" s="157"/>
      <c r="K42" s="158"/>
      <c r="L42" s="158"/>
      <c r="M42" s="159"/>
      <c r="N42" s="65"/>
      <c r="P42" s="197"/>
      <c r="Q42" s="197"/>
      <c r="R42" s="197"/>
      <c r="S42" s="197"/>
      <c r="T42" s="197"/>
      <c r="U42" s="197"/>
      <c r="X42" s="1"/>
      <c r="Y42" s="1"/>
      <c r="Z42" s="1"/>
      <c r="AF42" s="18"/>
      <c r="AG42" s="19"/>
    </row>
    <row r="43" spans="1:56" ht="25.5" x14ac:dyDescent="0.15">
      <c r="C43" s="132" t="s">
        <v>0</v>
      </c>
      <c r="D43" s="132"/>
      <c r="F43" s="133" t="s">
        <v>0</v>
      </c>
      <c r="G43" s="133"/>
      <c r="H43" s="133"/>
      <c r="J43" s="134" t="s">
        <v>0</v>
      </c>
      <c r="K43" s="134"/>
      <c r="L43" s="134"/>
      <c r="M43" s="134"/>
      <c r="N43" s="64"/>
      <c r="P43" s="196" t="s">
        <v>35</v>
      </c>
      <c r="Q43" s="196"/>
      <c r="R43" s="196"/>
      <c r="S43" s="196"/>
      <c r="T43" s="196"/>
      <c r="U43" s="196"/>
      <c r="X43" s="1"/>
      <c r="Y43" s="1"/>
      <c r="Z43" s="1"/>
      <c r="AF43" s="18"/>
      <c r="AG43" s="19"/>
    </row>
    <row r="44" spans="1:56" ht="18.75" customHeight="1" x14ac:dyDescent="0.15">
      <c r="A44" s="105" t="s">
        <v>66</v>
      </c>
      <c r="B44" s="106"/>
      <c r="C44" s="107">
        <f>修正不可!AS5*D27/12</f>
        <v>0</v>
      </c>
      <c r="D44" s="108"/>
      <c r="E44" s="6"/>
      <c r="F44" s="111"/>
      <c r="G44" s="112"/>
      <c r="H44" s="113"/>
      <c r="I44" s="6"/>
      <c r="J44" s="117"/>
      <c r="K44" s="118"/>
      <c r="L44" s="118"/>
      <c r="M44" s="119"/>
      <c r="N44" s="66"/>
      <c r="P44" s="219">
        <v>30000</v>
      </c>
      <c r="Q44" s="219"/>
      <c r="R44" s="219">
        <v>0</v>
      </c>
      <c r="S44" s="219"/>
      <c r="T44" s="219">
        <v>0</v>
      </c>
      <c r="U44" s="219"/>
      <c r="X44" s="1"/>
      <c r="Y44" s="1"/>
      <c r="Z44" s="1"/>
      <c r="AF44" s="18"/>
      <c r="AG44" s="19"/>
    </row>
    <row r="45" spans="1:56" ht="18.75" customHeight="1" x14ac:dyDescent="0.15">
      <c r="A45" s="106"/>
      <c r="B45" s="106"/>
      <c r="C45" s="109"/>
      <c r="D45" s="110"/>
      <c r="E45" s="2"/>
      <c r="F45" s="114"/>
      <c r="G45" s="115"/>
      <c r="H45" s="116"/>
      <c r="I45" s="2"/>
      <c r="J45" s="120"/>
      <c r="K45" s="121"/>
      <c r="L45" s="121"/>
      <c r="M45" s="122"/>
      <c r="N45" s="66"/>
      <c r="P45" s="219"/>
      <c r="Q45" s="219"/>
      <c r="R45" s="219"/>
      <c r="S45" s="219"/>
      <c r="T45" s="219"/>
      <c r="U45" s="219"/>
      <c r="X45" s="1"/>
      <c r="Y45" s="1"/>
      <c r="Z45" s="1"/>
      <c r="AF45" s="18"/>
      <c r="AG45" s="19"/>
    </row>
    <row r="46" spans="1:56" ht="18.75" customHeight="1" x14ac:dyDescent="0.15">
      <c r="A46" s="106"/>
      <c r="B46" s="106"/>
      <c r="C46" s="109"/>
      <c r="D46" s="110"/>
      <c r="E46" s="2"/>
      <c r="F46" s="114"/>
      <c r="G46" s="115"/>
      <c r="H46" s="116"/>
      <c r="I46" s="2"/>
      <c r="J46" s="120"/>
      <c r="K46" s="121"/>
      <c r="L46" s="121"/>
      <c r="M46" s="122"/>
      <c r="N46" s="66"/>
      <c r="P46" s="219"/>
      <c r="Q46" s="219"/>
      <c r="R46" s="219"/>
      <c r="S46" s="219"/>
      <c r="T46" s="219"/>
      <c r="U46" s="219"/>
      <c r="V46" s="1"/>
      <c r="W46" s="1"/>
      <c r="X46" s="1"/>
      <c r="Y46" s="18"/>
      <c r="Z46" s="18"/>
      <c r="AB46" s="23"/>
      <c r="AC46" s="23"/>
      <c r="AD46" s="18"/>
      <c r="AE46" s="19"/>
      <c r="AF46" s="19"/>
      <c r="AG46" s="19"/>
      <c r="BC46" s="1"/>
      <c r="BD46" s="1"/>
    </row>
    <row r="47" spans="1:56" ht="25.5" x14ac:dyDescent="0.15">
      <c r="A47" s="3"/>
      <c r="B47" s="9"/>
      <c r="C47" s="150" t="s">
        <v>1</v>
      </c>
      <c r="D47" s="150"/>
      <c r="E47" s="2"/>
      <c r="F47" s="133" t="s">
        <v>1</v>
      </c>
      <c r="G47" s="133"/>
      <c r="H47" s="133"/>
      <c r="I47" s="2"/>
      <c r="J47" s="134" t="s">
        <v>1</v>
      </c>
      <c r="K47" s="134"/>
      <c r="L47" s="134"/>
      <c r="M47" s="134"/>
      <c r="N47" s="64"/>
      <c r="P47" s="127" t="s">
        <v>48</v>
      </c>
      <c r="Q47" s="127"/>
      <c r="R47" s="127"/>
      <c r="S47" s="127"/>
      <c r="T47" s="127"/>
      <c r="U47" s="127"/>
      <c r="V47" s="1"/>
      <c r="W47" s="1"/>
      <c r="X47" s="1"/>
      <c r="Y47" s="18"/>
      <c r="Z47" s="18" t="s">
        <v>91</v>
      </c>
      <c r="AB47" s="23"/>
      <c r="AC47" s="23"/>
      <c r="AD47" s="18"/>
      <c r="AE47" s="19"/>
      <c r="AF47" s="19"/>
      <c r="AG47" s="19"/>
      <c r="BC47" s="1"/>
      <c r="BD47" s="1"/>
    </row>
    <row r="48" spans="1:56" ht="18.75" customHeight="1" x14ac:dyDescent="0.15">
      <c r="A48" s="128" t="s">
        <v>3</v>
      </c>
      <c r="B48" s="128"/>
      <c r="C48" s="129">
        <f>SUM(C36:D46)</f>
        <v>0</v>
      </c>
      <c r="D48" s="129"/>
      <c r="F48" s="130">
        <f>SUM(F36:H46)</f>
        <v>0</v>
      </c>
      <c r="G48" s="130"/>
      <c r="H48" s="130"/>
      <c r="J48" s="131">
        <f>SUM(J36:M46)</f>
        <v>0</v>
      </c>
      <c r="K48" s="131"/>
      <c r="L48" s="131"/>
      <c r="M48" s="131"/>
      <c r="N48" s="65"/>
      <c r="P48" s="126">
        <v>650000</v>
      </c>
      <c r="Q48" s="126"/>
      <c r="R48" s="126">
        <v>240000</v>
      </c>
      <c r="S48" s="126"/>
      <c r="T48" s="126">
        <v>170000</v>
      </c>
      <c r="U48" s="126"/>
      <c r="V48" s="18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X48" s="1"/>
      <c r="AY48" s="1"/>
      <c r="AZ48" s="1"/>
      <c r="BA48" s="1"/>
      <c r="BB48" s="1"/>
      <c r="BC48" s="1"/>
      <c r="BD48" s="1"/>
    </row>
    <row r="49" spans="1:56" ht="18.75" customHeight="1" x14ac:dyDescent="0.15">
      <c r="A49" s="128"/>
      <c r="B49" s="128"/>
      <c r="C49" s="129"/>
      <c r="D49" s="129"/>
      <c r="F49" s="130"/>
      <c r="G49" s="130"/>
      <c r="H49" s="130"/>
      <c r="J49" s="131"/>
      <c r="K49" s="131"/>
      <c r="L49" s="131"/>
      <c r="M49" s="131"/>
      <c r="N49" s="65"/>
      <c r="P49" s="126"/>
      <c r="Q49" s="126"/>
      <c r="R49" s="126"/>
      <c r="S49" s="126"/>
      <c r="T49" s="126"/>
      <c r="U49" s="126"/>
      <c r="V49" s="18"/>
      <c r="W49" s="23"/>
      <c r="X49" s="23"/>
      <c r="Y49" s="23"/>
      <c r="Z49" s="18"/>
      <c r="AA49" s="19"/>
      <c r="AB49" s="19"/>
      <c r="AC49" s="19"/>
      <c r="AD49" s="19"/>
      <c r="AE49" s="19"/>
      <c r="AF49" s="19"/>
      <c r="AG49" s="19"/>
      <c r="AX49" s="1"/>
      <c r="AY49" s="1"/>
      <c r="AZ49" s="1"/>
      <c r="BA49" s="1"/>
      <c r="BB49" s="1"/>
      <c r="BC49" s="1"/>
      <c r="BD49" s="1"/>
    </row>
    <row r="50" spans="1:56" ht="18.75" customHeight="1" x14ac:dyDescent="0.15">
      <c r="A50" s="128"/>
      <c r="B50" s="128"/>
      <c r="C50" s="129"/>
      <c r="D50" s="129"/>
      <c r="F50" s="130"/>
      <c r="G50" s="130"/>
      <c r="H50" s="130"/>
      <c r="J50" s="131"/>
      <c r="K50" s="131"/>
      <c r="L50" s="131"/>
      <c r="M50" s="131"/>
      <c r="N50" s="65"/>
      <c r="P50" s="126"/>
      <c r="Q50" s="126"/>
      <c r="R50" s="126"/>
      <c r="S50" s="126"/>
      <c r="T50" s="126"/>
      <c r="U50" s="126"/>
      <c r="V50" s="18"/>
      <c r="W50" s="23"/>
      <c r="X50" s="18"/>
      <c r="Y50" s="19"/>
      <c r="Z50" s="19"/>
      <c r="AA50" s="19"/>
      <c r="AB50" s="19"/>
      <c r="AC50" s="19"/>
      <c r="AD50" s="19"/>
      <c r="AE50" s="19"/>
      <c r="AF50" s="19"/>
      <c r="AG50" s="19"/>
      <c r="AX50" s="1"/>
      <c r="AY50" s="1"/>
      <c r="AZ50" s="1"/>
      <c r="BA50" s="1"/>
      <c r="BB50" s="1"/>
      <c r="BC50" s="1"/>
      <c r="BD50" s="1"/>
    </row>
    <row r="51" spans="1:56" ht="12.75" customHeight="1" thickBot="1" x14ac:dyDescent="0.2">
      <c r="A51" s="34"/>
      <c r="B51" s="34"/>
      <c r="C51" s="35"/>
      <c r="D51" s="35"/>
      <c r="F51" s="36"/>
      <c r="G51" s="36"/>
      <c r="H51" s="36"/>
      <c r="J51" s="37"/>
      <c r="K51" s="37"/>
      <c r="L51" s="78"/>
      <c r="M51" s="37"/>
      <c r="N51" s="65"/>
      <c r="V51" s="18"/>
      <c r="W51" s="23"/>
      <c r="X51" s="18"/>
      <c r="Y51" s="19"/>
      <c r="Z51" s="19"/>
      <c r="AA51" s="19"/>
      <c r="AB51" s="19"/>
      <c r="AC51" s="19"/>
      <c r="AD51" s="19"/>
      <c r="AE51" s="19"/>
      <c r="AF51" s="19"/>
      <c r="AG51" s="19"/>
      <c r="AX51" s="1"/>
      <c r="AY51" s="1"/>
      <c r="AZ51" s="1"/>
      <c r="BA51" s="1"/>
      <c r="BB51" s="1"/>
      <c r="BC51" s="1"/>
      <c r="BD51" s="1"/>
    </row>
    <row r="52" spans="1:56" ht="24.75" customHeight="1" x14ac:dyDescent="0.15">
      <c r="J52" s="5"/>
      <c r="K52" s="5"/>
      <c r="L52" s="5"/>
      <c r="M52" s="5"/>
      <c r="N52" s="5"/>
      <c r="P52" s="123" t="s">
        <v>63</v>
      </c>
      <c r="Q52" s="124"/>
      <c r="R52" s="125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9"/>
      <c r="AG52" s="19"/>
      <c r="AX52" s="1"/>
      <c r="AY52" s="1"/>
      <c r="AZ52" s="1"/>
      <c r="BA52" s="1"/>
      <c r="BB52" s="1"/>
      <c r="BC52" s="1"/>
      <c r="BD52" s="1"/>
    </row>
    <row r="53" spans="1:56" ht="25.5" customHeight="1" x14ac:dyDescent="0.15">
      <c r="A53" s="135" t="s">
        <v>39</v>
      </c>
      <c r="B53" s="136"/>
      <c r="C53" s="137">
        <f>修正不可!P59</f>
        <v>0</v>
      </c>
      <c r="D53" s="137"/>
      <c r="E53" s="138" t="s">
        <v>0</v>
      </c>
      <c r="F53" s="139">
        <f>修正不可!R59</f>
        <v>0</v>
      </c>
      <c r="G53" s="139"/>
      <c r="H53" s="139"/>
      <c r="I53" s="138" t="s">
        <v>0</v>
      </c>
      <c r="J53" s="101">
        <f>修正不可!T59</f>
        <v>0</v>
      </c>
      <c r="K53" s="101"/>
      <c r="L53" s="101"/>
      <c r="M53" s="101"/>
      <c r="N53" s="67"/>
      <c r="O53" s="94" t="s">
        <v>1</v>
      </c>
      <c r="P53" s="95">
        <f>SUM(C53+F53+J53)</f>
        <v>0</v>
      </c>
      <c r="Q53" s="96"/>
      <c r="R53" s="97"/>
      <c r="S53" s="103" t="s">
        <v>62</v>
      </c>
      <c r="T53" s="10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9"/>
      <c r="AG53" s="19"/>
      <c r="AX53" s="1"/>
      <c r="AY53" s="1"/>
      <c r="AZ53" s="1"/>
      <c r="BA53" s="1"/>
      <c r="BB53" s="1"/>
      <c r="BC53" s="1"/>
      <c r="BD53" s="1"/>
    </row>
    <row r="54" spans="1:56" ht="26.25" customHeight="1" x14ac:dyDescent="0.15">
      <c r="A54" s="136"/>
      <c r="B54" s="136"/>
      <c r="C54" s="137"/>
      <c r="D54" s="137"/>
      <c r="E54" s="138"/>
      <c r="F54" s="139"/>
      <c r="G54" s="139"/>
      <c r="H54" s="139"/>
      <c r="I54" s="138"/>
      <c r="J54" s="101"/>
      <c r="K54" s="101"/>
      <c r="L54" s="101"/>
      <c r="M54" s="101"/>
      <c r="N54" s="67"/>
      <c r="O54" s="94"/>
      <c r="P54" s="95"/>
      <c r="Q54" s="96"/>
      <c r="R54" s="97"/>
      <c r="S54" s="103"/>
      <c r="T54" s="104"/>
      <c r="U54" s="58" t="s">
        <v>79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9"/>
      <c r="AG54" s="19"/>
      <c r="AX54" s="1"/>
      <c r="AY54" s="1"/>
      <c r="AZ54" s="1"/>
      <c r="BA54" s="1"/>
      <c r="BB54" s="1"/>
      <c r="BC54" s="1"/>
      <c r="BD54" s="1"/>
    </row>
    <row r="55" spans="1:56" ht="24.75" thickBot="1" x14ac:dyDescent="0.2">
      <c r="A55" s="136"/>
      <c r="B55" s="136"/>
      <c r="C55" s="137"/>
      <c r="D55" s="137"/>
      <c r="E55" s="138"/>
      <c r="F55" s="139"/>
      <c r="G55" s="139"/>
      <c r="H55" s="139"/>
      <c r="I55" s="138"/>
      <c r="J55" s="101"/>
      <c r="K55" s="101"/>
      <c r="L55" s="101"/>
      <c r="M55" s="101"/>
      <c r="N55" s="67"/>
      <c r="O55" s="94"/>
      <c r="P55" s="98"/>
      <c r="Q55" s="99"/>
      <c r="R55" s="100"/>
      <c r="S55" s="103"/>
      <c r="T55" s="104"/>
      <c r="X55" s="18"/>
      <c r="Y55" s="23"/>
      <c r="Z55" s="18"/>
      <c r="AA55" s="19"/>
      <c r="AB55" s="19"/>
      <c r="AC55" s="19"/>
      <c r="AD55" s="19"/>
      <c r="AE55" s="19"/>
      <c r="AF55" s="19"/>
      <c r="AG55" s="19"/>
      <c r="AZ55" s="1"/>
      <c r="BA55" s="1"/>
      <c r="BB55" s="1"/>
      <c r="BC55" s="1"/>
      <c r="BD55" s="1"/>
    </row>
    <row r="56" spans="1:56" ht="29.25" customHeight="1" x14ac:dyDescent="0.15">
      <c r="A56" s="10"/>
      <c r="B56" s="10"/>
      <c r="C56" s="11"/>
      <c r="D56" s="11"/>
      <c r="E56" s="12"/>
      <c r="F56" s="11"/>
      <c r="G56" s="11"/>
      <c r="H56" s="11"/>
      <c r="I56" s="12"/>
      <c r="J56" s="11"/>
      <c r="K56" s="11"/>
      <c r="L56" s="11"/>
      <c r="M56" s="11"/>
      <c r="N56" s="11"/>
      <c r="O56" s="13"/>
      <c r="X56" s="18"/>
      <c r="Y56" s="23"/>
      <c r="Z56" s="23"/>
      <c r="AA56" s="19"/>
      <c r="AB56" s="19"/>
      <c r="AC56" s="19"/>
      <c r="AD56" s="19"/>
      <c r="AE56" s="19"/>
      <c r="AF56" s="19"/>
      <c r="AG56" s="19"/>
      <c r="AZ56" s="1"/>
      <c r="BA56" s="1"/>
      <c r="BB56" s="1"/>
      <c r="BC56" s="1"/>
      <c r="BD56" s="1"/>
    </row>
    <row r="57" spans="1:56" ht="19.5" customHeight="1" x14ac:dyDescent="0.15">
      <c r="A57" s="102" t="s">
        <v>77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9"/>
      <c r="AZ57" s="1"/>
      <c r="BA57" s="1"/>
      <c r="BB57" s="1"/>
      <c r="BC57" s="1"/>
      <c r="BD57" s="1"/>
    </row>
    <row r="58" spans="1:56" ht="19.5" customHeight="1" x14ac:dyDescent="0.1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9"/>
      <c r="AZ58" s="1"/>
      <c r="BA58" s="1"/>
      <c r="BB58" s="1"/>
      <c r="BC58" s="1"/>
      <c r="BD58" s="1"/>
    </row>
    <row r="59" spans="1:56" ht="19.5" customHeight="1" x14ac:dyDescent="0.15">
      <c r="A59" s="208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10"/>
      <c r="AG59" s="19"/>
      <c r="AZ59" s="1"/>
      <c r="BA59" s="1"/>
      <c r="BB59" s="1"/>
      <c r="BC59" s="1"/>
      <c r="BD59" s="1"/>
    </row>
    <row r="60" spans="1:56" ht="18" customHeight="1" x14ac:dyDescent="0.15">
      <c r="A60" s="211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3"/>
      <c r="AG60" s="19"/>
      <c r="AZ60" s="1"/>
      <c r="BA60" s="1"/>
      <c r="BB60" s="1"/>
      <c r="BC60" s="1"/>
      <c r="BD60" s="1"/>
    </row>
    <row r="61" spans="1:56" ht="21" customHeight="1" x14ac:dyDescent="0.15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3"/>
      <c r="AG61" s="19"/>
      <c r="AZ61" s="1"/>
      <c r="BA61" s="1"/>
      <c r="BB61" s="1"/>
      <c r="BC61" s="1"/>
      <c r="BD61" s="1"/>
    </row>
    <row r="62" spans="1:56" ht="18.75" customHeight="1" x14ac:dyDescent="0.15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3"/>
    </row>
    <row r="63" spans="1:56" ht="18.75" customHeight="1" x14ac:dyDescent="0.15">
      <c r="A63" s="211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3"/>
    </row>
    <row r="64" spans="1:56" ht="18.75" customHeight="1" x14ac:dyDescent="0.15">
      <c r="A64" s="211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3"/>
    </row>
    <row r="65" spans="1:33" ht="18.75" customHeight="1" x14ac:dyDescent="0.15">
      <c r="A65" s="211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3"/>
      <c r="AG65" s="19"/>
    </row>
    <row r="66" spans="1:33" ht="18.75" customHeight="1" x14ac:dyDescent="0.15">
      <c r="A66" s="214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6"/>
      <c r="AG66" s="19"/>
    </row>
    <row r="67" spans="1:33" ht="18.75" customHeight="1" x14ac:dyDescent="0.1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19"/>
    </row>
    <row r="68" spans="1:33" ht="18.75" customHeight="1" x14ac:dyDescent="0.1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19"/>
    </row>
    <row r="69" spans="1:33" ht="18.75" customHeight="1" x14ac:dyDescent="0.1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19"/>
    </row>
    <row r="70" spans="1:33" ht="18.75" customHeight="1" x14ac:dyDescent="0.1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19"/>
    </row>
    <row r="71" spans="1:33" ht="18.75" customHeight="1" x14ac:dyDescent="0.1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19"/>
    </row>
    <row r="72" spans="1:33" ht="18.75" customHeight="1" x14ac:dyDescent="0.1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19"/>
    </row>
    <row r="73" spans="1:33" ht="18.75" customHeight="1" x14ac:dyDescent="0.1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19"/>
    </row>
    <row r="74" spans="1:33" ht="18.75" customHeight="1" x14ac:dyDescent="0.1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19"/>
    </row>
    <row r="75" spans="1:33" ht="18.75" customHeight="1" x14ac:dyDescent="0.1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19"/>
    </row>
    <row r="76" spans="1:33" ht="18.75" customHeight="1" x14ac:dyDescent="0.1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2"/>
      <c r="U76" s="1"/>
      <c r="V76" s="1"/>
      <c r="W76" s="1"/>
      <c r="Z76" s="1"/>
      <c r="AA76" s="19"/>
      <c r="AB76" s="19"/>
      <c r="AC76" s="19"/>
      <c r="AG76" s="19"/>
    </row>
    <row r="77" spans="1:33" ht="18.75" customHeight="1" x14ac:dyDescent="0.1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2"/>
      <c r="U77" s="1"/>
      <c r="V77" s="1"/>
      <c r="W77" s="1"/>
      <c r="Z77" s="1"/>
      <c r="AA77" s="19"/>
      <c r="AB77" s="19"/>
      <c r="AC77" s="19"/>
      <c r="AG77" s="19"/>
    </row>
    <row r="78" spans="1:33" ht="18.75" customHeight="1" x14ac:dyDescent="0.1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2"/>
      <c r="U78" s="1"/>
      <c r="V78" s="1"/>
      <c r="W78" s="1"/>
      <c r="Z78" s="1"/>
      <c r="AA78" s="19"/>
      <c r="AB78" s="19"/>
      <c r="AC78" s="19"/>
      <c r="AG78" s="19"/>
    </row>
    <row r="79" spans="1:33" ht="18.75" customHeight="1" x14ac:dyDescent="0.1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2"/>
      <c r="U79" s="1"/>
      <c r="V79" s="1"/>
      <c r="W79" s="1"/>
      <c r="X79" s="1"/>
      <c r="Y79" s="1"/>
      <c r="Z79" s="1"/>
      <c r="AA79" s="19"/>
      <c r="AB79" s="19"/>
      <c r="AC79" s="19"/>
      <c r="AG79" s="19"/>
    </row>
    <row r="80" spans="1:33" ht="18.75" customHeight="1" x14ac:dyDescent="0.1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2"/>
      <c r="U80" s="1"/>
      <c r="V80" s="1"/>
      <c r="W80" s="1"/>
      <c r="X80" s="1"/>
      <c r="Y80" s="1"/>
      <c r="Z80" s="1"/>
      <c r="AA80" s="19"/>
      <c r="AB80" s="19"/>
      <c r="AC80" s="19"/>
      <c r="AG80" s="19"/>
    </row>
    <row r="81" spans="1:33" ht="18.75" customHeight="1" x14ac:dyDescent="0.1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2"/>
      <c r="U81" s="1"/>
      <c r="V81" s="1"/>
      <c r="W81" s="1"/>
      <c r="X81" s="1"/>
      <c r="Y81" s="1"/>
      <c r="Z81" s="1"/>
      <c r="AA81" s="19"/>
      <c r="AB81" s="19"/>
      <c r="AC81" s="19"/>
      <c r="AG81" s="19"/>
    </row>
    <row r="82" spans="1:33" ht="18.75" customHeight="1" x14ac:dyDescent="0.1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2"/>
      <c r="U82" s="1"/>
      <c r="V82" s="1"/>
      <c r="W82" s="1"/>
      <c r="X82" s="1"/>
      <c r="Y82" s="1"/>
      <c r="Z82" s="1"/>
      <c r="AA82" s="19"/>
      <c r="AB82" s="19"/>
      <c r="AC82" s="19"/>
      <c r="AG82" s="19"/>
    </row>
    <row r="83" spans="1:33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2"/>
      <c r="P83" s="2"/>
      <c r="Q83" s="2"/>
      <c r="R83" s="2"/>
      <c r="S83" s="2"/>
      <c r="U83" s="1"/>
      <c r="V83" s="1"/>
      <c r="W83" s="1"/>
      <c r="X83" s="1"/>
      <c r="Y83" s="1"/>
      <c r="Z83" s="1"/>
      <c r="AA83" s="19"/>
      <c r="AB83" s="19"/>
      <c r="AC83" s="19"/>
      <c r="AG83" s="19"/>
    </row>
    <row r="84" spans="1:33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U84" s="1"/>
      <c r="V84" s="1"/>
      <c r="W84" s="1"/>
      <c r="X84" s="1"/>
      <c r="Y84" s="1"/>
      <c r="Z84" s="1"/>
      <c r="AA84" s="19"/>
      <c r="AB84" s="19"/>
      <c r="AC84" s="19"/>
      <c r="AG84" s="19"/>
    </row>
    <row r="85" spans="1:33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U85" s="1"/>
      <c r="V85" s="1"/>
      <c r="W85" s="1"/>
      <c r="X85" s="1"/>
      <c r="Y85" s="1"/>
      <c r="Z85" s="1"/>
      <c r="AA85" s="19"/>
      <c r="AB85" s="19"/>
      <c r="AC85" s="19"/>
      <c r="AG85" s="19"/>
    </row>
    <row r="86" spans="1:33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U86" s="1"/>
      <c r="V86" s="1"/>
      <c r="W86" s="1"/>
      <c r="X86" s="1"/>
      <c r="Y86" s="1"/>
      <c r="Z86" s="1"/>
      <c r="AA86" s="19"/>
      <c r="AB86" s="19"/>
      <c r="AC86" s="19"/>
      <c r="AG86" s="19"/>
    </row>
    <row r="87" spans="1:33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U87" s="1"/>
      <c r="V87" s="1"/>
      <c r="W87" s="1"/>
      <c r="X87" s="1"/>
      <c r="Y87" s="1"/>
      <c r="Z87" s="1"/>
      <c r="AA87" s="19"/>
      <c r="AB87" s="19"/>
      <c r="AC87" s="19"/>
      <c r="AG87" s="19"/>
    </row>
    <row r="88" spans="1:33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U88" s="1"/>
      <c r="V88" s="1"/>
      <c r="W88" s="1"/>
      <c r="X88" s="1"/>
      <c r="Y88" s="1"/>
      <c r="Z88" s="1"/>
      <c r="AA88" s="19"/>
      <c r="AB88" s="19"/>
      <c r="AC88" s="19"/>
      <c r="AG88" s="19"/>
    </row>
    <row r="89" spans="1:33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U89" s="1"/>
      <c r="V89" s="1"/>
      <c r="W89" s="1"/>
      <c r="X89" s="1"/>
      <c r="Y89" s="1"/>
      <c r="Z89" s="1"/>
      <c r="AA89" s="19"/>
      <c r="AB89" s="19"/>
      <c r="AC89" s="19"/>
      <c r="AG89" s="19"/>
    </row>
    <row r="90" spans="1:33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U90" s="1"/>
      <c r="V90" s="1"/>
      <c r="W90" s="1"/>
      <c r="X90" s="1"/>
      <c r="Y90" s="1"/>
      <c r="Z90" s="1"/>
      <c r="AA90" s="19"/>
      <c r="AB90" s="19"/>
      <c r="AC90" s="19"/>
      <c r="AG90" s="19"/>
    </row>
    <row r="91" spans="1:33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X91" s="1"/>
      <c r="Y91" s="1"/>
      <c r="Z91" s="1"/>
      <c r="AA91" s="19"/>
      <c r="AB91" s="19"/>
      <c r="AC91" s="19"/>
      <c r="AG91" s="19"/>
    </row>
    <row r="92" spans="1:33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X92" s="1"/>
      <c r="Y92" s="1"/>
      <c r="Z92" s="1"/>
      <c r="AA92" s="19"/>
      <c r="AB92" s="19"/>
      <c r="AC92" s="19"/>
      <c r="AG92" s="19"/>
    </row>
    <row r="93" spans="1:33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X93" s="1"/>
      <c r="Y93" s="1"/>
      <c r="Z93" s="1"/>
      <c r="AA93" s="19"/>
      <c r="AB93" s="19"/>
      <c r="AC93" s="19"/>
      <c r="AG93" s="19"/>
    </row>
    <row r="94" spans="1:33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X94" s="1"/>
      <c r="Y94" s="1"/>
      <c r="Z94" s="1"/>
      <c r="AA94" s="19"/>
      <c r="AB94" s="19"/>
      <c r="AC94" s="19"/>
      <c r="AG94" s="19"/>
    </row>
    <row r="95" spans="1:33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X95" s="1"/>
      <c r="Y95" s="1"/>
      <c r="Z95" s="1"/>
      <c r="AA95" s="19"/>
      <c r="AB95" s="19"/>
      <c r="AC95" s="19"/>
      <c r="AG95" s="19"/>
    </row>
    <row r="96" spans="1:33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X96" s="1"/>
      <c r="Y96" s="1"/>
      <c r="Z96" s="1"/>
      <c r="AA96" s="19"/>
      <c r="AB96" s="19"/>
      <c r="AC96" s="19"/>
      <c r="AG96" s="19"/>
    </row>
    <row r="97" spans="1:33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X97" s="1"/>
      <c r="Y97" s="1"/>
      <c r="Z97" s="1"/>
      <c r="AA97" s="19"/>
      <c r="AB97" s="19"/>
      <c r="AC97" s="19"/>
      <c r="AG97" s="19"/>
    </row>
    <row r="98" spans="1:33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X98" s="1"/>
      <c r="Y98" s="1"/>
      <c r="Z98" s="1"/>
      <c r="AA98" s="19"/>
      <c r="AB98" s="19"/>
      <c r="AC98" s="19"/>
      <c r="AG98" s="19"/>
    </row>
    <row r="99" spans="1:33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X99" s="1"/>
      <c r="Y99" s="1"/>
      <c r="Z99" s="1"/>
      <c r="AA99" s="19"/>
      <c r="AB99" s="19"/>
      <c r="AC99" s="19"/>
      <c r="AG99" s="19"/>
    </row>
    <row r="100" spans="1:33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X100" s="1"/>
      <c r="Y100" s="1"/>
      <c r="Z100" s="1"/>
      <c r="AA100" s="19"/>
      <c r="AB100" s="19"/>
      <c r="AC100" s="19"/>
      <c r="AG100" s="19"/>
    </row>
    <row r="101" spans="1:33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X101" s="1"/>
      <c r="Y101" s="1"/>
      <c r="Z101" s="1"/>
      <c r="AA101" s="19"/>
      <c r="AB101" s="19"/>
      <c r="AC101" s="19"/>
      <c r="AG101" s="19"/>
    </row>
    <row r="102" spans="1:33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X102" s="1"/>
      <c r="Y102" s="1"/>
      <c r="Z102" s="1"/>
      <c r="AA102" s="19"/>
      <c r="AB102" s="19"/>
      <c r="AC102" s="19"/>
      <c r="AG102" s="19"/>
    </row>
    <row r="103" spans="1:33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X103" s="1"/>
      <c r="Y103" s="1"/>
      <c r="Z103" s="1"/>
      <c r="AA103" s="19"/>
      <c r="AB103" s="19"/>
      <c r="AC103" s="19"/>
      <c r="AG103" s="19"/>
    </row>
    <row r="104" spans="1:33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X104" s="1"/>
      <c r="Y104" s="1"/>
      <c r="Z104" s="1"/>
      <c r="AA104" s="19"/>
      <c r="AB104" s="19"/>
      <c r="AC104" s="19"/>
      <c r="AG104" s="19"/>
    </row>
    <row r="105" spans="1:33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X105" s="1"/>
      <c r="Y105" s="1"/>
      <c r="Z105" s="1"/>
      <c r="AA105" s="19"/>
      <c r="AB105" s="19"/>
      <c r="AC105" s="19"/>
      <c r="AG105" s="19"/>
    </row>
    <row r="106" spans="1:33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X106" s="1"/>
      <c r="Y106" s="1"/>
      <c r="Z106" s="1"/>
      <c r="AA106" s="19"/>
      <c r="AB106" s="19"/>
      <c r="AC106" s="19"/>
      <c r="AG106" s="19"/>
    </row>
    <row r="107" spans="1:33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X107" s="1"/>
      <c r="Y107" s="1"/>
      <c r="Z107" s="1"/>
      <c r="AA107" s="19"/>
      <c r="AB107" s="19"/>
      <c r="AC107" s="19"/>
      <c r="AG107" s="19"/>
    </row>
    <row r="108" spans="1:33" x14ac:dyDescent="0.15">
      <c r="X108" s="1"/>
      <c r="Y108" s="1"/>
      <c r="Z108" s="1"/>
      <c r="AA108" s="19"/>
      <c r="AB108" s="19"/>
      <c r="AC108" s="19"/>
      <c r="AG108" s="19"/>
    </row>
    <row r="109" spans="1:33" x14ac:dyDescent="0.15">
      <c r="X109" s="1"/>
      <c r="Y109" s="1"/>
      <c r="Z109" s="1"/>
      <c r="AA109" s="19"/>
      <c r="AB109" s="19"/>
      <c r="AC109" s="19"/>
      <c r="AG109" s="19"/>
    </row>
    <row r="110" spans="1:33" x14ac:dyDescent="0.15">
      <c r="X110" s="1"/>
      <c r="Y110" s="1"/>
      <c r="Z110" s="1"/>
      <c r="AA110" s="19"/>
      <c r="AB110" s="19"/>
      <c r="AC110" s="19"/>
      <c r="AG110" s="19"/>
    </row>
    <row r="111" spans="1:33" x14ac:dyDescent="0.15">
      <c r="AA111" s="19"/>
      <c r="AB111" s="19"/>
      <c r="AC111" s="19"/>
    </row>
  </sheetData>
  <mergeCells count="154">
    <mergeCell ref="I4:I5"/>
    <mergeCell ref="L3:L5"/>
    <mergeCell ref="P35:U35"/>
    <mergeCell ref="R36:S38"/>
    <mergeCell ref="T36:U38"/>
    <mergeCell ref="P39:U39"/>
    <mergeCell ref="R40:S42"/>
    <mergeCell ref="T40:U42"/>
    <mergeCell ref="I12:I14"/>
    <mergeCell ref="I9:I11"/>
    <mergeCell ref="J4:J5"/>
    <mergeCell ref="J6:J8"/>
    <mergeCell ref="J9:J11"/>
    <mergeCell ref="J12:J14"/>
    <mergeCell ref="J15:J17"/>
    <mergeCell ref="J18:J20"/>
    <mergeCell ref="J21:J23"/>
    <mergeCell ref="J24:J26"/>
    <mergeCell ref="K29:K30"/>
    <mergeCell ref="K6:K8"/>
    <mergeCell ref="K9:K11"/>
    <mergeCell ref="K12:K14"/>
    <mergeCell ref="K15:K17"/>
    <mergeCell ref="K18:K20"/>
    <mergeCell ref="P43:U43"/>
    <mergeCell ref="P40:Q42"/>
    <mergeCell ref="P36:Q38"/>
    <mergeCell ref="P32:U34"/>
    <mergeCell ref="G24:H26"/>
    <mergeCell ref="A24:A26"/>
    <mergeCell ref="I6:I8"/>
    <mergeCell ref="I15:I17"/>
    <mergeCell ref="A59:AF66"/>
    <mergeCell ref="L6:L8"/>
    <mergeCell ref="L9:L11"/>
    <mergeCell ref="L12:L14"/>
    <mergeCell ref="L15:L17"/>
    <mergeCell ref="L21:L23"/>
    <mergeCell ref="L24:L26"/>
    <mergeCell ref="L18:L20"/>
    <mergeCell ref="R44:S46"/>
    <mergeCell ref="T44:U46"/>
    <mergeCell ref="P44:Q46"/>
    <mergeCell ref="I24:I26"/>
    <mergeCell ref="B6:B8"/>
    <mergeCell ref="C6:C8"/>
    <mergeCell ref="D6:D8"/>
    <mergeCell ref="E6:E8"/>
    <mergeCell ref="F6:F8"/>
    <mergeCell ref="G6:H8"/>
    <mergeCell ref="F24:F26"/>
    <mergeCell ref="E2:F2"/>
    <mergeCell ref="C3:D3"/>
    <mergeCell ref="E3:F3"/>
    <mergeCell ref="G3:H3"/>
    <mergeCell ref="B9:B26"/>
    <mergeCell ref="C9:C11"/>
    <mergeCell ref="D9:D11"/>
    <mergeCell ref="E9:E11"/>
    <mergeCell ref="C12:C14"/>
    <mergeCell ref="D12:D14"/>
    <mergeCell ref="E12:E14"/>
    <mergeCell ref="D24:D26"/>
    <mergeCell ref="E24:E26"/>
    <mergeCell ref="C24:C26"/>
    <mergeCell ref="F4:F5"/>
    <mergeCell ref="G4:H5"/>
    <mergeCell ref="G15:H17"/>
    <mergeCell ref="F15:F17"/>
    <mergeCell ref="G9:H11"/>
    <mergeCell ref="A9:A11"/>
    <mergeCell ref="A12:A14"/>
    <mergeCell ref="F12:F14"/>
    <mergeCell ref="G12:H14"/>
    <mergeCell ref="A15:A17"/>
    <mergeCell ref="C15:C17"/>
    <mergeCell ref="D15:D17"/>
    <mergeCell ref="E15:E17"/>
    <mergeCell ref="F9:F11"/>
    <mergeCell ref="C33:D35"/>
    <mergeCell ref="F33:H35"/>
    <mergeCell ref="J33:M35"/>
    <mergeCell ref="B27:B28"/>
    <mergeCell ref="C27:C28"/>
    <mergeCell ref="D27:D28"/>
    <mergeCell ref="E27:E28"/>
    <mergeCell ref="D29:E30"/>
    <mergeCell ref="F29:J30"/>
    <mergeCell ref="C43:D43"/>
    <mergeCell ref="F43:H43"/>
    <mergeCell ref="J43:M43"/>
    <mergeCell ref="A53:B55"/>
    <mergeCell ref="C53:D55"/>
    <mergeCell ref="E53:E55"/>
    <mergeCell ref="F53:H55"/>
    <mergeCell ref="I53:I55"/>
    <mergeCell ref="A36:B38"/>
    <mergeCell ref="C36:D38"/>
    <mergeCell ref="E36:E38"/>
    <mergeCell ref="F36:H38"/>
    <mergeCell ref="I36:I38"/>
    <mergeCell ref="C39:D39"/>
    <mergeCell ref="F39:H39"/>
    <mergeCell ref="J39:M39"/>
    <mergeCell ref="A40:B42"/>
    <mergeCell ref="C40:D42"/>
    <mergeCell ref="F40:H42"/>
    <mergeCell ref="J40:M42"/>
    <mergeCell ref="C47:D47"/>
    <mergeCell ref="F47:H47"/>
    <mergeCell ref="J47:M47"/>
    <mergeCell ref="J36:M38"/>
    <mergeCell ref="O53:O55"/>
    <mergeCell ref="P53:R55"/>
    <mergeCell ref="J53:M55"/>
    <mergeCell ref="A57:AF58"/>
    <mergeCell ref="S53:T55"/>
    <mergeCell ref="A44:B46"/>
    <mergeCell ref="C44:D46"/>
    <mergeCell ref="F44:H46"/>
    <mergeCell ref="J44:M46"/>
    <mergeCell ref="P52:R52"/>
    <mergeCell ref="R48:S50"/>
    <mergeCell ref="P47:U47"/>
    <mergeCell ref="P48:Q50"/>
    <mergeCell ref="T48:U50"/>
    <mergeCell ref="A48:B50"/>
    <mergeCell ref="C48:D50"/>
    <mergeCell ref="F48:H50"/>
    <mergeCell ref="J48:M50"/>
    <mergeCell ref="K21:K23"/>
    <mergeCell ref="K24:K26"/>
    <mergeCell ref="K4:K5"/>
    <mergeCell ref="N3:AE30"/>
    <mergeCell ref="A18:A20"/>
    <mergeCell ref="A21:A23"/>
    <mergeCell ref="C18:C20"/>
    <mergeCell ref="D18:D20"/>
    <mergeCell ref="E18:E20"/>
    <mergeCell ref="F18:F20"/>
    <mergeCell ref="G18:H20"/>
    <mergeCell ref="I18:I20"/>
    <mergeCell ref="C21:C23"/>
    <mergeCell ref="D21:D23"/>
    <mergeCell ref="E21:E23"/>
    <mergeCell ref="F21:F23"/>
    <mergeCell ref="G21:H23"/>
    <mergeCell ref="I21:I23"/>
    <mergeCell ref="A4:A5"/>
    <mergeCell ref="B4:B5"/>
    <mergeCell ref="C4:C5"/>
    <mergeCell ref="D4:D5"/>
    <mergeCell ref="E4:E5"/>
    <mergeCell ref="A7:A8"/>
  </mergeCells>
  <phoneticPr fontId="2"/>
  <dataValidations count="3">
    <dataValidation type="list" allowBlank="1" showInputMessage="1" showErrorMessage="1" sqref="D6:D26 F6:F26" xr:uid="{00000000-0002-0000-0000-000000000000}">
      <formula1>"1,2,3,4,5,6,7,8,9,10,11,12"</formula1>
    </dataValidation>
    <dataValidation type="list" allowBlank="1" showInputMessage="1" showErrorMessage="1" sqref="E21:E26" xr:uid="{00000000-0002-0000-0000-000001000000}">
      <formula1>"○"</formula1>
    </dataValidation>
    <dataValidation type="list" allowBlank="1" showInputMessage="1" showErrorMessage="1" sqref="C6:C26 B6:B8 J21:K21 I6:I26 J6:K6 J9:K9 J12:K12 J15:K15 J18:K18 J24:K24 E6:E20" xr:uid="{00000000-0002-0000-0000-000002000000}">
      <formula1>"　,○"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21"/>
  <sheetViews>
    <sheetView workbookViewId="0">
      <selection activeCell="E15" sqref="E15:F17"/>
    </sheetView>
  </sheetViews>
  <sheetFormatPr defaultRowHeight="13.5" x14ac:dyDescent="0.15"/>
  <cols>
    <col min="5" max="11" width="9.875" customWidth="1"/>
  </cols>
  <sheetData>
    <row r="1" spans="1:15" ht="22.5" customHeight="1" x14ac:dyDescent="0.15">
      <c r="A1" s="228" t="s">
        <v>80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59"/>
      <c r="M1" s="59"/>
      <c r="N1" s="59"/>
      <c r="O1" s="59"/>
    </row>
    <row r="2" spans="1:15" x14ac:dyDescent="0.15">
      <c r="A2" s="230" t="s">
        <v>67</v>
      </c>
      <c r="B2" s="231"/>
      <c r="C2" s="231"/>
      <c r="D2" s="232"/>
      <c r="E2" s="228" t="s">
        <v>68</v>
      </c>
      <c r="F2" s="228"/>
      <c r="G2" s="228"/>
      <c r="H2" s="228"/>
      <c r="I2" s="228"/>
      <c r="J2" s="228"/>
      <c r="K2" s="228"/>
    </row>
    <row r="3" spans="1:15" x14ac:dyDescent="0.15">
      <c r="A3" s="233"/>
      <c r="B3" s="234"/>
      <c r="C3" s="234"/>
      <c r="D3" s="235"/>
      <c r="E3" s="228"/>
      <c r="F3" s="228"/>
      <c r="G3" s="228"/>
      <c r="H3" s="228"/>
      <c r="I3" s="228"/>
      <c r="J3" s="228"/>
      <c r="K3" s="228"/>
    </row>
    <row r="4" spans="1:15" ht="21" customHeight="1" x14ac:dyDescent="0.15">
      <c r="A4" s="228" t="s">
        <v>97</v>
      </c>
      <c r="B4" s="228"/>
      <c r="C4" s="228"/>
      <c r="D4" s="228"/>
      <c r="E4" s="229" t="s">
        <v>93</v>
      </c>
      <c r="F4" s="229"/>
      <c r="G4" s="229"/>
      <c r="H4" s="229"/>
      <c r="I4" s="229"/>
      <c r="J4" s="229"/>
      <c r="K4" s="229"/>
    </row>
    <row r="5" spans="1:15" ht="21" customHeight="1" x14ac:dyDescent="0.15">
      <c r="A5" s="228" t="s">
        <v>98</v>
      </c>
      <c r="B5" s="228"/>
      <c r="C5" s="228" t="s">
        <v>101</v>
      </c>
      <c r="D5" s="228"/>
      <c r="E5" s="236" t="s">
        <v>94</v>
      </c>
      <c r="F5" s="237"/>
      <c r="G5" s="237"/>
      <c r="H5" s="237"/>
      <c r="I5" s="237"/>
      <c r="J5" s="237"/>
      <c r="K5" s="238"/>
    </row>
    <row r="6" spans="1:15" ht="21" customHeight="1" x14ac:dyDescent="0.15">
      <c r="A6" s="228" t="s">
        <v>99</v>
      </c>
      <c r="B6" s="228"/>
      <c r="C6" s="228" t="s">
        <v>102</v>
      </c>
      <c r="D6" s="228"/>
      <c r="E6" s="229" t="s">
        <v>95</v>
      </c>
      <c r="F6" s="229"/>
      <c r="G6" s="229"/>
      <c r="H6" s="229"/>
      <c r="I6" s="229"/>
      <c r="J6" s="229"/>
      <c r="K6" s="229"/>
    </row>
    <row r="7" spans="1:15" ht="21" customHeight="1" x14ac:dyDescent="0.15">
      <c r="A7" s="228" t="s">
        <v>100</v>
      </c>
      <c r="B7" s="228"/>
      <c r="C7" s="228" t="s">
        <v>103</v>
      </c>
      <c r="D7" s="228"/>
      <c r="E7" s="229" t="s">
        <v>96</v>
      </c>
      <c r="F7" s="229"/>
      <c r="G7" s="229"/>
      <c r="H7" s="229"/>
      <c r="I7" s="229"/>
      <c r="J7" s="229"/>
      <c r="K7" s="229"/>
    </row>
    <row r="8" spans="1:15" ht="21" customHeight="1" x14ac:dyDescent="0.15">
      <c r="A8" s="228" t="s">
        <v>104</v>
      </c>
      <c r="B8" s="228"/>
      <c r="C8" s="228"/>
      <c r="D8" s="228"/>
      <c r="E8" s="229" t="s">
        <v>105</v>
      </c>
      <c r="F8" s="229"/>
      <c r="G8" s="229"/>
      <c r="H8" s="229"/>
      <c r="I8" s="229"/>
      <c r="J8" s="229"/>
      <c r="K8" s="229"/>
    </row>
    <row r="9" spans="1:15" ht="21" customHeight="1" x14ac:dyDescent="0.15">
      <c r="A9" t="s">
        <v>82</v>
      </c>
    </row>
    <row r="10" spans="1:15" ht="18" hidden="1" customHeight="1" x14ac:dyDescent="0.15">
      <c r="K10" s="239">
        <f>MAX(E15-H17,0)</f>
        <v>0</v>
      </c>
      <c r="L10" s="240"/>
      <c r="M10" s="240"/>
    </row>
    <row r="11" spans="1:15" x14ac:dyDescent="0.15">
      <c r="E11" s="241" t="s">
        <v>73</v>
      </c>
      <c r="F11" s="241"/>
    </row>
    <row r="12" spans="1:15" x14ac:dyDescent="0.15">
      <c r="A12" t="s">
        <v>72</v>
      </c>
      <c r="E12" s="242"/>
      <c r="F12" s="242"/>
      <c r="H12" s="243" t="s">
        <v>74</v>
      </c>
      <c r="I12" s="243"/>
      <c r="K12" s="244" t="s">
        <v>74</v>
      </c>
      <c r="L12" s="244"/>
      <c r="M12" s="244"/>
      <c r="N12" s="244"/>
      <c r="O12" s="244"/>
    </row>
    <row r="13" spans="1:15" ht="33.75" customHeight="1" x14ac:dyDescent="0.15">
      <c r="A13" s="230" t="s">
        <v>67</v>
      </c>
      <c r="B13" s="231"/>
      <c r="C13" s="231"/>
      <c r="D13" s="232"/>
      <c r="E13" s="245" t="s">
        <v>70</v>
      </c>
      <c r="F13" s="246"/>
      <c r="H13" s="241" t="s">
        <v>71</v>
      </c>
      <c r="I13" s="243"/>
      <c r="K13" s="247" t="s">
        <v>76</v>
      </c>
      <c r="L13" s="247"/>
      <c r="M13" s="247"/>
      <c r="N13" s="247"/>
      <c r="O13" s="247"/>
    </row>
    <row r="14" spans="1:15" ht="33.75" customHeight="1" thickBot="1" x14ac:dyDescent="0.2">
      <c r="A14" s="233"/>
      <c r="B14" s="234"/>
      <c r="C14" s="234"/>
      <c r="D14" s="235"/>
      <c r="E14" s="246"/>
      <c r="F14" s="246"/>
      <c r="H14" s="243"/>
      <c r="I14" s="243"/>
      <c r="K14" s="247"/>
      <c r="L14" s="247"/>
      <c r="M14" s="247"/>
      <c r="N14" s="247"/>
      <c r="O14" s="247"/>
    </row>
    <row r="15" spans="1:15" ht="33.75" customHeight="1" thickBot="1" x14ac:dyDescent="0.2">
      <c r="A15" s="230" t="s">
        <v>97</v>
      </c>
      <c r="B15" s="231"/>
      <c r="C15" s="231"/>
      <c r="D15" s="232"/>
      <c r="E15" s="250">
        <v>0</v>
      </c>
      <c r="F15" s="251"/>
      <c r="G15" s="256" t="s">
        <v>69</v>
      </c>
      <c r="H15" s="257">
        <f>E15*0.4-100000</f>
        <v>-100000</v>
      </c>
      <c r="I15" s="258"/>
      <c r="J15" s="47" t="s">
        <v>69</v>
      </c>
      <c r="K15" s="259">
        <f>IF(H15&lt;549999,0,E15-H15)</f>
        <v>0</v>
      </c>
      <c r="L15" s="259"/>
      <c r="M15" s="259"/>
      <c r="N15" s="259"/>
      <c r="O15" s="259"/>
    </row>
    <row r="16" spans="1:15" ht="33.75" customHeight="1" x14ac:dyDescent="0.15">
      <c r="A16" s="248"/>
      <c r="B16" s="244"/>
      <c r="C16" s="244"/>
      <c r="D16" s="249"/>
      <c r="E16" s="252"/>
      <c r="F16" s="253"/>
      <c r="G16" s="256"/>
      <c r="H16" s="260" t="s">
        <v>75</v>
      </c>
      <c r="I16" s="261"/>
      <c r="J16" s="47"/>
      <c r="K16" s="262" t="s">
        <v>81</v>
      </c>
      <c r="L16" s="263"/>
      <c r="M16" s="263"/>
      <c r="N16" s="263"/>
      <c r="O16" s="263"/>
    </row>
    <row r="17" spans="1:15" ht="33.75" customHeight="1" x14ac:dyDescent="0.15">
      <c r="A17" s="233"/>
      <c r="B17" s="234"/>
      <c r="C17" s="234"/>
      <c r="D17" s="235"/>
      <c r="E17" s="254"/>
      <c r="F17" s="255"/>
      <c r="G17" s="256"/>
      <c r="H17" s="264">
        <f>IF(H15&gt;550000,0,550000)</f>
        <v>550000</v>
      </c>
      <c r="I17" s="264"/>
      <c r="J17" s="47" t="s">
        <v>69</v>
      </c>
      <c r="K17" s="259">
        <f>IF(H17=550000,K10,0)</f>
        <v>0</v>
      </c>
      <c r="L17" s="259"/>
      <c r="M17" s="259"/>
      <c r="N17" s="259"/>
      <c r="O17" s="259"/>
    </row>
    <row r="18" spans="1:15" ht="33.75" customHeight="1" x14ac:dyDescent="0.15">
      <c r="A18" s="228" t="s">
        <v>98</v>
      </c>
      <c r="B18" s="228"/>
      <c r="C18" s="228" t="s">
        <v>101</v>
      </c>
      <c r="D18" s="228"/>
      <c r="E18" s="265"/>
      <c r="F18" s="265"/>
      <c r="G18" s="47" t="s">
        <v>69</v>
      </c>
      <c r="H18" s="266">
        <f>E18*0.3+80000</f>
        <v>80000</v>
      </c>
      <c r="I18" s="266"/>
      <c r="J18" s="47" t="s">
        <v>69</v>
      </c>
      <c r="K18" s="259">
        <f>MAX(E18-H18,0)</f>
        <v>0</v>
      </c>
      <c r="L18" s="259"/>
      <c r="M18" s="259"/>
      <c r="N18" s="259"/>
      <c r="O18" s="259"/>
    </row>
    <row r="19" spans="1:15" ht="33.75" customHeight="1" x14ac:dyDescent="0.15">
      <c r="A19" s="228" t="s">
        <v>99</v>
      </c>
      <c r="B19" s="228"/>
      <c r="C19" s="228" t="s">
        <v>102</v>
      </c>
      <c r="D19" s="228"/>
      <c r="E19" s="265"/>
      <c r="F19" s="265"/>
      <c r="G19" s="47" t="s">
        <v>69</v>
      </c>
      <c r="H19" s="266">
        <f>E19*0.2+440000</f>
        <v>440000</v>
      </c>
      <c r="I19" s="266"/>
      <c r="J19" s="47" t="s">
        <v>69</v>
      </c>
      <c r="K19" s="259">
        <f>MAX(E19-H19,0)</f>
        <v>0</v>
      </c>
      <c r="L19" s="259"/>
      <c r="M19" s="259"/>
      <c r="N19" s="259"/>
      <c r="O19" s="259"/>
    </row>
    <row r="20" spans="1:15" ht="33.75" customHeight="1" x14ac:dyDescent="0.15">
      <c r="A20" s="228" t="s">
        <v>100</v>
      </c>
      <c r="B20" s="228"/>
      <c r="C20" s="228" t="s">
        <v>106</v>
      </c>
      <c r="D20" s="228"/>
      <c r="E20" s="265"/>
      <c r="F20" s="265"/>
      <c r="G20" s="47" t="s">
        <v>69</v>
      </c>
      <c r="H20" s="266">
        <f>E20*0.1+1100000</f>
        <v>1100000</v>
      </c>
      <c r="I20" s="266"/>
      <c r="J20" s="47" t="s">
        <v>69</v>
      </c>
      <c r="K20" s="259">
        <f>MAX(E20-H20,0)</f>
        <v>0</v>
      </c>
      <c r="L20" s="259"/>
      <c r="M20" s="259"/>
      <c r="N20" s="259"/>
      <c r="O20" s="259"/>
    </row>
    <row r="21" spans="1:15" ht="33.75" customHeight="1" x14ac:dyDescent="0.15">
      <c r="A21" s="228" t="s">
        <v>107</v>
      </c>
      <c r="B21" s="228"/>
      <c r="C21" s="228"/>
      <c r="D21" s="228"/>
      <c r="E21" s="265"/>
      <c r="F21" s="265"/>
      <c r="G21" s="47" t="s">
        <v>69</v>
      </c>
      <c r="H21" s="266">
        <v>1950000</v>
      </c>
      <c r="I21" s="266"/>
      <c r="J21" s="47" t="s">
        <v>69</v>
      </c>
      <c r="K21" s="259">
        <f>MAX(E21-H21,0)</f>
        <v>0</v>
      </c>
      <c r="L21" s="259"/>
      <c r="M21" s="259"/>
      <c r="N21" s="259"/>
      <c r="O21" s="259"/>
    </row>
  </sheetData>
  <mergeCells count="52">
    <mergeCell ref="E20:F20"/>
    <mergeCell ref="H20:I20"/>
    <mergeCell ref="K20:O20"/>
    <mergeCell ref="A21:D21"/>
    <mergeCell ref="E21:F21"/>
    <mergeCell ref="H21:I21"/>
    <mergeCell ref="K21:O21"/>
    <mergeCell ref="A20:B20"/>
    <mergeCell ref="C20:D20"/>
    <mergeCell ref="A18:B18"/>
    <mergeCell ref="C18:D18"/>
    <mergeCell ref="E18:F18"/>
    <mergeCell ref="H18:I18"/>
    <mergeCell ref="K18:O18"/>
    <mergeCell ref="A19:B19"/>
    <mergeCell ref="C19:D19"/>
    <mergeCell ref="E19:F19"/>
    <mergeCell ref="H19:I19"/>
    <mergeCell ref="K19:O19"/>
    <mergeCell ref="A15:D17"/>
    <mergeCell ref="E15:F17"/>
    <mergeCell ref="G15:G17"/>
    <mergeCell ref="H15:I15"/>
    <mergeCell ref="K15:O15"/>
    <mergeCell ref="H16:I16"/>
    <mergeCell ref="K16:O16"/>
    <mergeCell ref="H17:I17"/>
    <mergeCell ref="K17:O17"/>
    <mergeCell ref="A13:D14"/>
    <mergeCell ref="A7:B7"/>
    <mergeCell ref="C7:D7"/>
    <mergeCell ref="E7:K7"/>
    <mergeCell ref="A8:D8"/>
    <mergeCell ref="E8:K8"/>
    <mergeCell ref="K10:M10"/>
    <mergeCell ref="E11:F12"/>
    <mergeCell ref="H12:I12"/>
    <mergeCell ref="K12:O12"/>
    <mergeCell ref="E13:F14"/>
    <mergeCell ref="H13:I14"/>
    <mergeCell ref="K13:O14"/>
    <mergeCell ref="A5:B5"/>
    <mergeCell ref="C5:D5"/>
    <mergeCell ref="E5:K5"/>
    <mergeCell ref="A6:B6"/>
    <mergeCell ref="C6:D6"/>
    <mergeCell ref="E6:K6"/>
    <mergeCell ref="A1:K1"/>
    <mergeCell ref="E2:K3"/>
    <mergeCell ref="A4:D4"/>
    <mergeCell ref="E4:K4"/>
    <mergeCell ref="A2:D3"/>
  </mergeCells>
  <phoneticPr fontId="2"/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Q72"/>
  <sheetViews>
    <sheetView workbookViewId="0">
      <selection activeCell="A68" sqref="A68:D68"/>
    </sheetView>
  </sheetViews>
  <sheetFormatPr defaultRowHeight="13.5" x14ac:dyDescent="0.15"/>
  <cols>
    <col min="11" max="11" width="9" customWidth="1"/>
  </cols>
  <sheetData>
    <row r="1" spans="1:17" x14ac:dyDescent="0.15">
      <c r="A1" t="s">
        <v>83</v>
      </c>
    </row>
    <row r="2" spans="1:17" ht="29.25" customHeight="1" x14ac:dyDescent="0.15">
      <c r="A2" s="228" t="s">
        <v>84</v>
      </c>
      <c r="B2" s="228"/>
      <c r="C2" s="228"/>
      <c r="D2" s="228"/>
      <c r="E2" s="281" t="s">
        <v>86</v>
      </c>
      <c r="F2" s="282"/>
      <c r="G2" s="282"/>
      <c r="H2" s="283"/>
      <c r="I2" s="271" t="s">
        <v>115</v>
      </c>
      <c r="J2" s="242"/>
      <c r="K2" s="242"/>
      <c r="L2" s="242"/>
      <c r="M2" s="242"/>
      <c r="N2" s="242"/>
      <c r="O2" s="242"/>
      <c r="P2" s="242"/>
      <c r="Q2" s="242"/>
    </row>
    <row r="3" spans="1:17" ht="15.75" customHeight="1" x14ac:dyDescent="0.15">
      <c r="A3" s="228"/>
      <c r="B3" s="228"/>
      <c r="C3" s="228"/>
      <c r="D3" s="228"/>
      <c r="E3" s="271"/>
      <c r="F3" s="242"/>
      <c r="G3" s="242"/>
      <c r="H3" s="284"/>
      <c r="I3" s="268" t="s">
        <v>113</v>
      </c>
      <c r="J3" s="269"/>
      <c r="K3" s="270"/>
      <c r="L3" s="268" t="s">
        <v>122</v>
      </c>
      <c r="M3" s="269"/>
      <c r="N3" s="270"/>
      <c r="O3" s="268" t="s">
        <v>123</v>
      </c>
      <c r="P3" s="269"/>
      <c r="Q3" s="270"/>
    </row>
    <row r="4" spans="1:17" ht="20.25" customHeight="1" x14ac:dyDescent="0.15">
      <c r="A4" s="272" t="s">
        <v>150</v>
      </c>
      <c r="B4" s="273"/>
      <c r="C4" s="273"/>
      <c r="D4" s="274"/>
      <c r="E4" s="228" t="s">
        <v>85</v>
      </c>
      <c r="F4" s="228"/>
      <c r="G4" s="228"/>
      <c r="H4" s="228"/>
      <c r="I4" s="268" t="s">
        <v>116</v>
      </c>
      <c r="J4" s="269"/>
      <c r="K4" s="270"/>
      <c r="L4" s="268" t="s">
        <v>125</v>
      </c>
      <c r="M4" s="269"/>
      <c r="N4" s="270"/>
      <c r="O4" s="268" t="s">
        <v>124</v>
      </c>
      <c r="P4" s="269"/>
      <c r="Q4" s="270"/>
    </row>
    <row r="5" spans="1:17" ht="20.25" customHeight="1" x14ac:dyDescent="0.15">
      <c r="A5" s="275"/>
      <c r="B5" s="276"/>
      <c r="C5" s="276"/>
      <c r="D5" s="277"/>
      <c r="E5" s="228" t="s">
        <v>108</v>
      </c>
      <c r="F5" s="228"/>
      <c r="G5" s="228" t="s">
        <v>109</v>
      </c>
      <c r="H5" s="228"/>
      <c r="I5" s="268" t="s">
        <v>117</v>
      </c>
      <c r="J5" s="269"/>
      <c r="K5" s="270"/>
      <c r="L5" s="268" t="s">
        <v>126</v>
      </c>
      <c r="M5" s="269"/>
      <c r="N5" s="270"/>
      <c r="O5" s="268" t="s">
        <v>127</v>
      </c>
      <c r="P5" s="269"/>
      <c r="Q5" s="270"/>
    </row>
    <row r="6" spans="1:17" ht="20.25" customHeight="1" x14ac:dyDescent="0.15">
      <c r="A6" s="275"/>
      <c r="B6" s="276"/>
      <c r="C6" s="276"/>
      <c r="D6" s="277"/>
      <c r="E6" s="228" t="s">
        <v>111</v>
      </c>
      <c r="F6" s="228"/>
      <c r="G6" s="228" t="s">
        <v>110</v>
      </c>
      <c r="H6" s="228"/>
      <c r="I6" s="268" t="s">
        <v>118</v>
      </c>
      <c r="J6" s="269"/>
      <c r="K6" s="270"/>
      <c r="L6" s="268" t="s">
        <v>128</v>
      </c>
      <c r="M6" s="269"/>
      <c r="N6" s="270"/>
      <c r="O6" s="268" t="s">
        <v>129</v>
      </c>
      <c r="P6" s="269"/>
      <c r="Q6" s="270"/>
    </row>
    <row r="7" spans="1:17" ht="20.25" customHeight="1" x14ac:dyDescent="0.15">
      <c r="A7" s="275"/>
      <c r="B7" s="276"/>
      <c r="C7" s="276"/>
      <c r="D7" s="277"/>
      <c r="E7" s="268" t="s">
        <v>112</v>
      </c>
      <c r="F7" s="270"/>
      <c r="G7" s="268" t="s">
        <v>113</v>
      </c>
      <c r="H7" s="270"/>
      <c r="I7" s="268" t="s">
        <v>119</v>
      </c>
      <c r="J7" s="269"/>
      <c r="K7" s="270"/>
      <c r="L7" s="268" t="s">
        <v>131</v>
      </c>
      <c r="M7" s="269"/>
      <c r="N7" s="270"/>
      <c r="O7" s="268" t="s">
        <v>130</v>
      </c>
      <c r="P7" s="269"/>
      <c r="Q7" s="270"/>
    </row>
    <row r="8" spans="1:17" ht="20.25" customHeight="1" x14ac:dyDescent="0.15">
      <c r="A8" s="278"/>
      <c r="B8" s="279"/>
      <c r="C8" s="279"/>
      <c r="D8" s="280"/>
      <c r="E8" s="268" t="s">
        <v>114</v>
      </c>
      <c r="F8" s="269"/>
      <c r="G8" s="269"/>
      <c r="H8" s="270"/>
      <c r="I8" s="268" t="s">
        <v>120</v>
      </c>
      <c r="J8" s="269"/>
      <c r="K8" s="270"/>
      <c r="L8" s="268" t="s">
        <v>132</v>
      </c>
      <c r="M8" s="269"/>
      <c r="N8" s="270"/>
      <c r="O8" s="268" t="s">
        <v>133</v>
      </c>
      <c r="P8" s="269"/>
      <c r="Q8" s="270"/>
    </row>
    <row r="9" spans="1:17" ht="20.25" customHeight="1" x14ac:dyDescent="0.15">
      <c r="A9" s="272" t="s">
        <v>151</v>
      </c>
      <c r="B9" s="273"/>
      <c r="C9" s="273"/>
      <c r="D9" s="274"/>
      <c r="E9" s="228" t="s">
        <v>146</v>
      </c>
      <c r="F9" s="228"/>
      <c r="G9" s="228"/>
      <c r="H9" s="228"/>
      <c r="I9" s="268" t="s">
        <v>121</v>
      </c>
      <c r="J9" s="269"/>
      <c r="K9" s="270"/>
      <c r="L9" s="268" t="s">
        <v>134</v>
      </c>
      <c r="M9" s="269"/>
      <c r="N9" s="270"/>
      <c r="O9" s="268" t="s">
        <v>135</v>
      </c>
      <c r="P9" s="269"/>
      <c r="Q9" s="270"/>
    </row>
    <row r="10" spans="1:17" ht="20.25" customHeight="1" x14ac:dyDescent="0.15">
      <c r="A10" s="275"/>
      <c r="B10" s="276"/>
      <c r="C10" s="276"/>
      <c r="D10" s="277"/>
      <c r="E10" s="228" t="s">
        <v>145</v>
      </c>
      <c r="F10" s="228"/>
      <c r="G10" s="228" t="s">
        <v>109</v>
      </c>
      <c r="H10" s="228"/>
      <c r="I10" s="268" t="s">
        <v>117</v>
      </c>
      <c r="J10" s="269"/>
      <c r="K10" s="270"/>
      <c r="L10" s="268" t="s">
        <v>126</v>
      </c>
      <c r="M10" s="269"/>
      <c r="N10" s="270"/>
      <c r="O10" s="268" t="s">
        <v>127</v>
      </c>
      <c r="P10" s="269"/>
      <c r="Q10" s="270"/>
    </row>
    <row r="11" spans="1:17" ht="20.25" customHeight="1" x14ac:dyDescent="0.15">
      <c r="A11" s="275"/>
      <c r="B11" s="276"/>
      <c r="C11" s="276"/>
      <c r="D11" s="277"/>
      <c r="E11" s="228" t="s">
        <v>111</v>
      </c>
      <c r="F11" s="228"/>
      <c r="G11" s="228" t="s">
        <v>110</v>
      </c>
      <c r="H11" s="228"/>
      <c r="I11" s="268" t="s">
        <v>118</v>
      </c>
      <c r="J11" s="269"/>
      <c r="K11" s="270"/>
      <c r="L11" s="268" t="s">
        <v>128</v>
      </c>
      <c r="M11" s="269"/>
      <c r="N11" s="270"/>
      <c r="O11" s="268" t="s">
        <v>129</v>
      </c>
      <c r="P11" s="269"/>
      <c r="Q11" s="270"/>
    </row>
    <row r="12" spans="1:17" ht="20.25" customHeight="1" x14ac:dyDescent="0.15">
      <c r="A12" s="275"/>
      <c r="B12" s="276"/>
      <c r="C12" s="276"/>
      <c r="D12" s="277"/>
      <c r="E12" s="268" t="s">
        <v>112</v>
      </c>
      <c r="F12" s="270"/>
      <c r="G12" s="268" t="s">
        <v>113</v>
      </c>
      <c r="H12" s="270"/>
      <c r="I12" s="268" t="s">
        <v>119</v>
      </c>
      <c r="J12" s="269"/>
      <c r="K12" s="270"/>
      <c r="L12" s="268" t="s">
        <v>131</v>
      </c>
      <c r="M12" s="269"/>
      <c r="N12" s="270"/>
      <c r="O12" s="268" t="s">
        <v>130</v>
      </c>
      <c r="P12" s="269"/>
      <c r="Q12" s="270"/>
    </row>
    <row r="13" spans="1:17" ht="20.25" customHeight="1" x14ac:dyDescent="0.15">
      <c r="A13" s="278"/>
      <c r="B13" s="279"/>
      <c r="C13" s="279"/>
      <c r="D13" s="280"/>
      <c r="E13" s="268" t="s">
        <v>114</v>
      </c>
      <c r="F13" s="269"/>
      <c r="G13" s="269"/>
      <c r="H13" s="270"/>
      <c r="I13" s="268" t="s">
        <v>120</v>
      </c>
      <c r="J13" s="269"/>
      <c r="K13" s="270"/>
      <c r="L13" s="268" t="s">
        <v>132</v>
      </c>
      <c r="M13" s="269"/>
      <c r="N13" s="270"/>
      <c r="O13" s="268" t="s">
        <v>133</v>
      </c>
      <c r="P13" s="269"/>
      <c r="Q13" s="270"/>
    </row>
    <row r="15" spans="1:17" x14ac:dyDescent="0.15">
      <c r="A15" t="s">
        <v>136</v>
      </c>
      <c r="F15" t="s">
        <v>88</v>
      </c>
      <c r="J15" s="234" t="s">
        <v>74</v>
      </c>
      <c r="K15" s="234"/>
      <c r="L15" s="234"/>
    </row>
    <row r="16" spans="1:17" x14ac:dyDescent="0.15">
      <c r="A16" s="267" t="s">
        <v>84</v>
      </c>
      <c r="B16" s="267"/>
      <c r="C16" s="267"/>
      <c r="D16" s="267"/>
      <c r="F16" s="245" t="s">
        <v>87</v>
      </c>
      <c r="G16" s="246"/>
      <c r="H16" s="246"/>
      <c r="J16" s="247" t="s">
        <v>89</v>
      </c>
      <c r="K16" s="228"/>
      <c r="L16" s="228"/>
    </row>
    <row r="17" spans="1:12" x14ac:dyDescent="0.15">
      <c r="A17" s="267"/>
      <c r="B17" s="267"/>
      <c r="C17" s="267"/>
      <c r="D17" s="267"/>
      <c r="F17" s="246"/>
      <c r="G17" s="246"/>
      <c r="H17" s="246"/>
      <c r="J17" s="228"/>
      <c r="K17" s="228"/>
      <c r="L17" s="228"/>
    </row>
    <row r="18" spans="1:12" x14ac:dyDescent="0.15">
      <c r="A18" s="287" t="s">
        <v>150</v>
      </c>
      <c r="B18" s="288"/>
      <c r="C18" s="288"/>
      <c r="D18" s="288"/>
      <c r="F18" s="246"/>
      <c r="G18" s="246"/>
      <c r="H18" s="246"/>
      <c r="J18" s="228"/>
      <c r="K18" s="228"/>
      <c r="L18" s="228"/>
    </row>
    <row r="19" spans="1:12" x14ac:dyDescent="0.15">
      <c r="A19" s="288"/>
      <c r="B19" s="288"/>
      <c r="C19" s="288"/>
      <c r="D19" s="288"/>
      <c r="F19" s="246"/>
      <c r="G19" s="246"/>
      <c r="H19" s="246"/>
      <c r="J19" s="228"/>
      <c r="K19" s="228"/>
      <c r="L19" s="228"/>
    </row>
    <row r="20" spans="1:12" ht="20.25" customHeight="1" x14ac:dyDescent="0.15">
      <c r="A20" s="228" t="s">
        <v>85</v>
      </c>
      <c r="B20" s="228"/>
      <c r="C20" s="228"/>
      <c r="D20" s="228"/>
      <c r="E20" s="60" t="s">
        <v>69</v>
      </c>
      <c r="F20" s="265"/>
      <c r="G20" s="265"/>
      <c r="H20" s="265"/>
      <c r="I20" s="61" t="s">
        <v>69</v>
      </c>
      <c r="J20" s="259">
        <f>MAX(F20-600000,0)</f>
        <v>0</v>
      </c>
      <c r="K20" s="259"/>
      <c r="L20" s="259"/>
    </row>
    <row r="21" spans="1:12" ht="20.25" customHeight="1" x14ac:dyDescent="0.15">
      <c r="A21" s="228" t="s">
        <v>108</v>
      </c>
      <c r="B21" s="228"/>
      <c r="C21" s="228" t="s">
        <v>109</v>
      </c>
      <c r="D21" s="228"/>
      <c r="E21" s="60" t="s">
        <v>69</v>
      </c>
      <c r="F21" s="265"/>
      <c r="G21" s="265"/>
      <c r="H21" s="265"/>
      <c r="I21" s="61" t="s">
        <v>69</v>
      </c>
      <c r="J21" s="259">
        <f>MAX(F21*0.75-275000,0)</f>
        <v>0</v>
      </c>
      <c r="K21" s="259"/>
      <c r="L21" s="259"/>
    </row>
    <row r="22" spans="1:12" ht="20.25" customHeight="1" x14ac:dyDescent="0.15">
      <c r="A22" s="228" t="s">
        <v>111</v>
      </c>
      <c r="B22" s="228"/>
      <c r="C22" s="228" t="s">
        <v>110</v>
      </c>
      <c r="D22" s="228"/>
      <c r="E22" s="60" t="s">
        <v>69</v>
      </c>
      <c r="F22" s="265"/>
      <c r="G22" s="265"/>
      <c r="H22" s="265"/>
      <c r="I22" s="61" t="s">
        <v>69</v>
      </c>
      <c r="J22" s="259">
        <f>MAX(F22*0.85-685000,0)</f>
        <v>0</v>
      </c>
      <c r="K22" s="259"/>
      <c r="L22" s="259"/>
    </row>
    <row r="23" spans="1:12" ht="20.25" customHeight="1" x14ac:dyDescent="0.15">
      <c r="A23" s="268" t="s">
        <v>112</v>
      </c>
      <c r="B23" s="270"/>
      <c r="C23" s="268" t="s">
        <v>113</v>
      </c>
      <c r="D23" s="270"/>
      <c r="E23" s="60" t="s">
        <v>69</v>
      </c>
      <c r="F23" s="265"/>
      <c r="G23" s="265"/>
      <c r="H23" s="265"/>
      <c r="I23" s="61" t="s">
        <v>69</v>
      </c>
      <c r="J23" s="259">
        <f>MAX(F23*0.95-1455000,0)</f>
        <v>0</v>
      </c>
      <c r="K23" s="259"/>
      <c r="L23" s="259"/>
    </row>
    <row r="24" spans="1:12" ht="20.25" customHeight="1" x14ac:dyDescent="0.15">
      <c r="A24" s="268" t="s">
        <v>114</v>
      </c>
      <c r="B24" s="269"/>
      <c r="C24" s="269"/>
      <c r="D24" s="270"/>
      <c r="E24" s="60" t="s">
        <v>69</v>
      </c>
      <c r="F24" s="265"/>
      <c r="G24" s="265"/>
      <c r="H24" s="265"/>
      <c r="I24" s="61"/>
      <c r="J24" s="259">
        <f>MAX(F24*0.95-1955000,0)</f>
        <v>0</v>
      </c>
      <c r="K24" s="259"/>
      <c r="L24" s="259"/>
    </row>
    <row r="25" spans="1:12" ht="14.25" customHeight="1" x14ac:dyDescent="0.15">
      <c r="F25" s="62"/>
      <c r="G25" s="62"/>
      <c r="H25" s="62"/>
      <c r="I25" s="62"/>
      <c r="J25" s="62"/>
      <c r="K25" s="62"/>
      <c r="L25" s="62"/>
    </row>
    <row r="26" spans="1:12" ht="14.25" customHeight="1" x14ac:dyDescent="0.15">
      <c r="A26" s="285" t="s">
        <v>151</v>
      </c>
      <c r="B26" s="286"/>
      <c r="C26" s="286"/>
      <c r="D26" s="286"/>
      <c r="F26" s="62"/>
      <c r="G26" s="62"/>
      <c r="H26" s="62"/>
      <c r="I26" s="62"/>
      <c r="J26" s="62"/>
      <c r="K26" s="62"/>
      <c r="L26" s="62"/>
    </row>
    <row r="27" spans="1:12" ht="20.25" customHeight="1" x14ac:dyDescent="0.15">
      <c r="A27" s="286"/>
      <c r="B27" s="286"/>
      <c r="C27" s="286"/>
      <c r="D27" s="286"/>
      <c r="F27" s="62"/>
      <c r="G27" s="62"/>
      <c r="H27" s="62"/>
      <c r="I27" s="62"/>
      <c r="J27" s="62"/>
      <c r="K27" s="62"/>
      <c r="L27" s="62"/>
    </row>
    <row r="28" spans="1:12" ht="20.25" customHeight="1" x14ac:dyDescent="0.15">
      <c r="A28" s="228" t="s">
        <v>146</v>
      </c>
      <c r="B28" s="228"/>
      <c r="C28" s="228"/>
      <c r="D28" s="228"/>
      <c r="E28" s="60" t="s">
        <v>69</v>
      </c>
      <c r="F28" s="265"/>
      <c r="G28" s="265"/>
      <c r="H28" s="265"/>
      <c r="I28" s="61" t="s">
        <v>69</v>
      </c>
      <c r="J28" s="259">
        <f>MAX(F28-1100000,0)</f>
        <v>0</v>
      </c>
      <c r="K28" s="259"/>
      <c r="L28" s="259"/>
    </row>
    <row r="29" spans="1:12" ht="20.25" customHeight="1" x14ac:dyDescent="0.15">
      <c r="A29" s="228" t="s">
        <v>145</v>
      </c>
      <c r="B29" s="228"/>
      <c r="C29" s="228" t="s">
        <v>109</v>
      </c>
      <c r="D29" s="228"/>
      <c r="E29" s="60" t="s">
        <v>69</v>
      </c>
      <c r="F29" s="265"/>
      <c r="G29" s="265"/>
      <c r="H29" s="265"/>
      <c r="I29" s="61" t="s">
        <v>69</v>
      </c>
      <c r="J29" s="259">
        <f>MAX(F29*0.75-275000,0)</f>
        <v>0</v>
      </c>
      <c r="K29" s="259"/>
      <c r="L29" s="259"/>
    </row>
    <row r="30" spans="1:12" ht="20.25" customHeight="1" x14ac:dyDescent="0.15">
      <c r="A30" s="228" t="s">
        <v>111</v>
      </c>
      <c r="B30" s="228"/>
      <c r="C30" s="228" t="s">
        <v>110</v>
      </c>
      <c r="D30" s="228"/>
      <c r="E30" s="60" t="s">
        <v>69</v>
      </c>
      <c r="F30" s="265"/>
      <c r="G30" s="265"/>
      <c r="H30" s="265"/>
      <c r="I30" s="61" t="s">
        <v>69</v>
      </c>
      <c r="J30" s="259">
        <f>MAX(F30*0.85-685000,0)</f>
        <v>0</v>
      </c>
      <c r="K30" s="259"/>
      <c r="L30" s="259"/>
    </row>
    <row r="31" spans="1:12" ht="21.75" customHeight="1" x14ac:dyDescent="0.15">
      <c r="A31" s="268" t="s">
        <v>112</v>
      </c>
      <c r="B31" s="270"/>
      <c r="C31" s="268" t="s">
        <v>113</v>
      </c>
      <c r="D31" s="270"/>
      <c r="E31" s="60" t="s">
        <v>69</v>
      </c>
      <c r="F31" s="265"/>
      <c r="G31" s="265"/>
      <c r="H31" s="265"/>
      <c r="I31" s="61" t="s">
        <v>69</v>
      </c>
      <c r="J31" s="259">
        <f>MAX(F31*0.95-1455000,0)</f>
        <v>0</v>
      </c>
      <c r="K31" s="259"/>
      <c r="L31" s="259"/>
    </row>
    <row r="32" spans="1:12" ht="21.75" customHeight="1" x14ac:dyDescent="0.15">
      <c r="A32" s="268" t="s">
        <v>114</v>
      </c>
      <c r="B32" s="269"/>
      <c r="C32" s="269"/>
      <c r="D32" s="270"/>
      <c r="E32" s="60" t="s">
        <v>69</v>
      </c>
      <c r="F32" s="265"/>
      <c r="G32" s="265"/>
      <c r="H32" s="265"/>
      <c r="I32" s="61"/>
      <c r="J32" s="259">
        <f>MAX(F32*0.95-1955000,0)</f>
        <v>0</v>
      </c>
      <c r="K32" s="259"/>
      <c r="L32" s="259"/>
    </row>
    <row r="35" spans="1:12" x14ac:dyDescent="0.15">
      <c r="A35" t="s">
        <v>137</v>
      </c>
      <c r="F35" t="s">
        <v>88</v>
      </c>
      <c r="J35" s="234" t="s">
        <v>74</v>
      </c>
      <c r="K35" s="234"/>
      <c r="L35" s="234"/>
    </row>
    <row r="36" spans="1:12" x14ac:dyDescent="0.15">
      <c r="A36" s="267" t="s">
        <v>84</v>
      </c>
      <c r="B36" s="267"/>
      <c r="C36" s="267"/>
      <c r="D36" s="267"/>
      <c r="F36" s="245" t="s">
        <v>87</v>
      </c>
      <c r="G36" s="246"/>
      <c r="H36" s="246"/>
      <c r="J36" s="247" t="s">
        <v>89</v>
      </c>
      <c r="K36" s="228"/>
      <c r="L36" s="228"/>
    </row>
    <row r="37" spans="1:12" x14ac:dyDescent="0.15">
      <c r="A37" s="267"/>
      <c r="B37" s="267"/>
      <c r="C37" s="267"/>
      <c r="D37" s="267"/>
      <c r="F37" s="246"/>
      <c r="G37" s="246"/>
      <c r="H37" s="246"/>
      <c r="J37" s="228"/>
      <c r="K37" s="228"/>
      <c r="L37" s="228"/>
    </row>
    <row r="38" spans="1:12" x14ac:dyDescent="0.15">
      <c r="A38" s="287" t="s">
        <v>152</v>
      </c>
      <c r="B38" s="288"/>
      <c r="C38" s="288"/>
      <c r="D38" s="288"/>
      <c r="F38" s="246"/>
      <c r="G38" s="246"/>
      <c r="H38" s="246"/>
      <c r="J38" s="228"/>
      <c r="K38" s="228"/>
      <c r="L38" s="228"/>
    </row>
    <row r="39" spans="1:12" x14ac:dyDescent="0.15">
      <c r="A39" s="288"/>
      <c r="B39" s="288"/>
      <c r="C39" s="288"/>
      <c r="D39" s="288"/>
      <c r="F39" s="246"/>
      <c r="G39" s="246"/>
      <c r="H39" s="246"/>
      <c r="J39" s="228"/>
      <c r="K39" s="228"/>
      <c r="L39" s="228"/>
    </row>
    <row r="40" spans="1:12" ht="25.5" x14ac:dyDescent="0.15">
      <c r="A40" s="228" t="s">
        <v>85</v>
      </c>
      <c r="B40" s="228"/>
      <c r="C40" s="228"/>
      <c r="D40" s="228"/>
      <c r="E40" s="60" t="s">
        <v>69</v>
      </c>
      <c r="F40" s="265"/>
      <c r="G40" s="265"/>
      <c r="H40" s="265"/>
      <c r="I40" s="61" t="s">
        <v>69</v>
      </c>
      <c r="J40" s="259">
        <f>MAX(F40-500000,0)</f>
        <v>0</v>
      </c>
      <c r="K40" s="259"/>
      <c r="L40" s="259"/>
    </row>
    <row r="41" spans="1:12" ht="25.5" x14ac:dyDescent="0.15">
      <c r="A41" s="228" t="s">
        <v>108</v>
      </c>
      <c r="B41" s="228"/>
      <c r="C41" s="228" t="s">
        <v>109</v>
      </c>
      <c r="D41" s="228"/>
      <c r="E41" s="60" t="s">
        <v>69</v>
      </c>
      <c r="F41" s="265"/>
      <c r="G41" s="265"/>
      <c r="H41" s="265"/>
      <c r="I41" s="61" t="s">
        <v>69</v>
      </c>
      <c r="J41" s="259">
        <f>MAX(F41*0.75-175000,0)</f>
        <v>0</v>
      </c>
      <c r="K41" s="259"/>
      <c r="L41" s="259"/>
    </row>
    <row r="42" spans="1:12" ht="25.5" x14ac:dyDescent="0.15">
      <c r="A42" s="228" t="s">
        <v>111</v>
      </c>
      <c r="B42" s="228"/>
      <c r="C42" s="228" t="s">
        <v>110</v>
      </c>
      <c r="D42" s="228"/>
      <c r="E42" s="60" t="s">
        <v>69</v>
      </c>
      <c r="F42" s="265"/>
      <c r="G42" s="265"/>
      <c r="H42" s="265"/>
      <c r="I42" s="61" t="s">
        <v>69</v>
      </c>
      <c r="J42" s="259">
        <f>MAX(F42*0.85-585000,0)</f>
        <v>0</v>
      </c>
      <c r="K42" s="259"/>
      <c r="L42" s="259"/>
    </row>
    <row r="43" spans="1:12" ht="25.5" x14ac:dyDescent="0.15">
      <c r="A43" s="268" t="s">
        <v>112</v>
      </c>
      <c r="B43" s="270"/>
      <c r="C43" s="268" t="s">
        <v>113</v>
      </c>
      <c r="D43" s="270"/>
      <c r="E43" s="60" t="s">
        <v>69</v>
      </c>
      <c r="F43" s="265"/>
      <c r="G43" s="265"/>
      <c r="H43" s="265"/>
      <c r="I43" s="61" t="s">
        <v>69</v>
      </c>
      <c r="J43" s="259">
        <f>MAX(F43*0.95-1355000,0)</f>
        <v>0</v>
      </c>
      <c r="K43" s="259"/>
      <c r="L43" s="259"/>
    </row>
    <row r="44" spans="1:12" ht="25.5" x14ac:dyDescent="0.15">
      <c r="A44" s="268" t="s">
        <v>114</v>
      </c>
      <c r="B44" s="269"/>
      <c r="C44" s="269"/>
      <c r="D44" s="270"/>
      <c r="E44" s="60" t="s">
        <v>69</v>
      </c>
      <c r="F44" s="265"/>
      <c r="G44" s="265"/>
      <c r="H44" s="265"/>
      <c r="I44" s="61"/>
      <c r="J44" s="259">
        <f>MAX(F44*0.95-1855000,0)</f>
        <v>0</v>
      </c>
      <c r="K44" s="259"/>
      <c r="L44" s="259"/>
    </row>
    <row r="45" spans="1:12" x14ac:dyDescent="0.15">
      <c r="F45" s="62"/>
      <c r="G45" s="62"/>
      <c r="H45" s="62"/>
      <c r="I45" s="62"/>
      <c r="J45" s="62"/>
      <c r="K45" s="62"/>
      <c r="L45" s="62"/>
    </row>
    <row r="46" spans="1:12" x14ac:dyDescent="0.15">
      <c r="A46" s="285" t="s">
        <v>153</v>
      </c>
      <c r="B46" s="286"/>
      <c r="C46" s="286"/>
      <c r="D46" s="286"/>
      <c r="F46" s="62"/>
      <c r="G46" s="62"/>
      <c r="H46" s="62"/>
      <c r="I46" s="62"/>
      <c r="J46" s="62"/>
      <c r="K46" s="62"/>
      <c r="L46" s="62"/>
    </row>
    <row r="47" spans="1:12" x14ac:dyDescent="0.15">
      <c r="A47" s="286"/>
      <c r="B47" s="286"/>
      <c r="C47" s="286"/>
      <c r="D47" s="286"/>
      <c r="F47" s="62"/>
      <c r="G47" s="62"/>
      <c r="H47" s="62"/>
      <c r="I47" s="62"/>
      <c r="J47" s="62"/>
      <c r="K47" s="62"/>
      <c r="L47" s="62"/>
    </row>
    <row r="48" spans="1:12" ht="25.5" x14ac:dyDescent="0.15">
      <c r="A48" s="228" t="s">
        <v>146</v>
      </c>
      <c r="B48" s="228"/>
      <c r="C48" s="228"/>
      <c r="D48" s="228"/>
      <c r="E48" s="60" t="s">
        <v>69</v>
      </c>
      <c r="F48" s="265"/>
      <c r="G48" s="265"/>
      <c r="H48" s="265"/>
      <c r="I48" s="61" t="s">
        <v>69</v>
      </c>
      <c r="J48" s="259">
        <f>MAX(F48-1000000,0)</f>
        <v>0</v>
      </c>
      <c r="K48" s="259"/>
      <c r="L48" s="259"/>
    </row>
    <row r="49" spans="1:12" ht="25.5" x14ac:dyDescent="0.15">
      <c r="A49" s="228" t="s">
        <v>145</v>
      </c>
      <c r="B49" s="228"/>
      <c r="C49" s="228" t="s">
        <v>109</v>
      </c>
      <c r="D49" s="228"/>
      <c r="E49" s="60" t="s">
        <v>69</v>
      </c>
      <c r="F49" s="265"/>
      <c r="G49" s="265"/>
      <c r="H49" s="265"/>
      <c r="I49" s="61" t="s">
        <v>69</v>
      </c>
      <c r="J49" s="259">
        <f>MAX(F49*0.75-175000,0)</f>
        <v>0</v>
      </c>
      <c r="K49" s="259"/>
      <c r="L49" s="259"/>
    </row>
    <row r="50" spans="1:12" ht="25.5" x14ac:dyDescent="0.15">
      <c r="A50" s="228" t="s">
        <v>111</v>
      </c>
      <c r="B50" s="228"/>
      <c r="C50" s="228" t="s">
        <v>110</v>
      </c>
      <c r="D50" s="228"/>
      <c r="E50" s="60" t="s">
        <v>69</v>
      </c>
      <c r="F50" s="265"/>
      <c r="G50" s="265"/>
      <c r="H50" s="265"/>
      <c r="I50" s="61" t="s">
        <v>69</v>
      </c>
      <c r="J50" s="259">
        <f>MAX(F50*0.85-585000,0)</f>
        <v>0</v>
      </c>
      <c r="K50" s="259"/>
      <c r="L50" s="259"/>
    </row>
    <row r="51" spans="1:12" ht="25.5" x14ac:dyDescent="0.15">
      <c r="A51" s="268" t="s">
        <v>112</v>
      </c>
      <c r="B51" s="270"/>
      <c r="C51" s="268" t="s">
        <v>113</v>
      </c>
      <c r="D51" s="270"/>
      <c r="E51" s="60" t="s">
        <v>69</v>
      </c>
      <c r="F51" s="265"/>
      <c r="G51" s="265"/>
      <c r="H51" s="265"/>
      <c r="I51" s="61" t="s">
        <v>69</v>
      </c>
      <c r="J51" s="259">
        <f>MAX(F51*0.95-1355000,0)</f>
        <v>0</v>
      </c>
      <c r="K51" s="259"/>
      <c r="L51" s="259"/>
    </row>
    <row r="52" spans="1:12" ht="25.5" x14ac:dyDescent="0.15">
      <c r="A52" s="268" t="s">
        <v>114</v>
      </c>
      <c r="B52" s="269"/>
      <c r="C52" s="269"/>
      <c r="D52" s="270"/>
      <c r="E52" s="60" t="s">
        <v>69</v>
      </c>
      <c r="F52" s="265"/>
      <c r="G52" s="265"/>
      <c r="H52" s="265"/>
      <c r="I52" s="61"/>
      <c r="J52" s="259">
        <f>MAX(F52*0.95-1855000,0)</f>
        <v>0</v>
      </c>
      <c r="K52" s="259"/>
      <c r="L52" s="259"/>
    </row>
    <row r="55" spans="1:12" x14ac:dyDescent="0.15">
      <c r="A55" t="s">
        <v>138</v>
      </c>
      <c r="F55" t="s">
        <v>88</v>
      </c>
      <c r="J55" s="234" t="s">
        <v>74</v>
      </c>
      <c r="K55" s="234"/>
      <c r="L55" s="234"/>
    </row>
    <row r="56" spans="1:12" x14ac:dyDescent="0.15">
      <c r="A56" s="267" t="s">
        <v>84</v>
      </c>
      <c r="B56" s="267"/>
      <c r="C56" s="267"/>
      <c r="D56" s="267"/>
      <c r="F56" s="245" t="s">
        <v>87</v>
      </c>
      <c r="G56" s="246"/>
      <c r="H56" s="246"/>
      <c r="J56" s="247" t="s">
        <v>89</v>
      </c>
      <c r="K56" s="228"/>
      <c r="L56" s="228"/>
    </row>
    <row r="57" spans="1:12" x14ac:dyDescent="0.15">
      <c r="A57" s="267"/>
      <c r="B57" s="267"/>
      <c r="C57" s="267"/>
      <c r="D57" s="267"/>
      <c r="F57" s="246"/>
      <c r="G57" s="246"/>
      <c r="H57" s="246"/>
      <c r="J57" s="228"/>
      <c r="K57" s="228"/>
      <c r="L57" s="228"/>
    </row>
    <row r="58" spans="1:12" x14ac:dyDescent="0.15">
      <c r="A58" s="287" t="s">
        <v>152</v>
      </c>
      <c r="B58" s="288"/>
      <c r="C58" s="288"/>
      <c r="D58" s="288"/>
      <c r="F58" s="246"/>
      <c r="G58" s="246"/>
      <c r="H58" s="246"/>
      <c r="J58" s="228"/>
      <c r="K58" s="228"/>
      <c r="L58" s="228"/>
    </row>
    <row r="59" spans="1:12" x14ac:dyDescent="0.15">
      <c r="A59" s="288"/>
      <c r="B59" s="288"/>
      <c r="C59" s="288"/>
      <c r="D59" s="288"/>
      <c r="F59" s="246"/>
      <c r="G59" s="246"/>
      <c r="H59" s="246"/>
      <c r="J59" s="228"/>
      <c r="K59" s="228"/>
      <c r="L59" s="228"/>
    </row>
    <row r="60" spans="1:12" ht="25.5" x14ac:dyDescent="0.15">
      <c r="A60" s="228" t="s">
        <v>85</v>
      </c>
      <c r="B60" s="228"/>
      <c r="C60" s="228"/>
      <c r="D60" s="228"/>
      <c r="E60" s="60" t="s">
        <v>69</v>
      </c>
      <c r="F60" s="265"/>
      <c r="G60" s="265"/>
      <c r="H60" s="265"/>
      <c r="I60" s="61" t="s">
        <v>69</v>
      </c>
      <c r="J60" s="259">
        <f>MAX(F60-400000,0)</f>
        <v>0</v>
      </c>
      <c r="K60" s="259"/>
      <c r="L60" s="259"/>
    </row>
    <row r="61" spans="1:12" ht="25.5" x14ac:dyDescent="0.15">
      <c r="A61" s="228" t="s">
        <v>108</v>
      </c>
      <c r="B61" s="228"/>
      <c r="C61" s="228" t="s">
        <v>109</v>
      </c>
      <c r="D61" s="228"/>
      <c r="E61" s="60" t="s">
        <v>69</v>
      </c>
      <c r="F61" s="265"/>
      <c r="G61" s="265"/>
      <c r="H61" s="265"/>
      <c r="I61" s="61" t="s">
        <v>69</v>
      </c>
      <c r="J61" s="259">
        <f>MAX(F61*0.75-75000,0)</f>
        <v>0</v>
      </c>
      <c r="K61" s="259"/>
      <c r="L61" s="259"/>
    </row>
    <row r="62" spans="1:12" ht="25.5" x14ac:dyDescent="0.15">
      <c r="A62" s="228" t="s">
        <v>111</v>
      </c>
      <c r="B62" s="228"/>
      <c r="C62" s="228" t="s">
        <v>110</v>
      </c>
      <c r="D62" s="228"/>
      <c r="E62" s="60" t="s">
        <v>69</v>
      </c>
      <c r="F62" s="265"/>
      <c r="G62" s="265"/>
      <c r="H62" s="265"/>
      <c r="I62" s="61" t="s">
        <v>69</v>
      </c>
      <c r="J62" s="259">
        <f>MAX(F62*0.85-485000,0)</f>
        <v>0</v>
      </c>
      <c r="K62" s="259"/>
      <c r="L62" s="259"/>
    </row>
    <row r="63" spans="1:12" ht="25.5" x14ac:dyDescent="0.15">
      <c r="A63" s="268" t="s">
        <v>112</v>
      </c>
      <c r="B63" s="270"/>
      <c r="C63" s="268" t="s">
        <v>113</v>
      </c>
      <c r="D63" s="270"/>
      <c r="E63" s="60" t="s">
        <v>69</v>
      </c>
      <c r="F63" s="265"/>
      <c r="G63" s="265"/>
      <c r="H63" s="265"/>
      <c r="I63" s="61" t="s">
        <v>69</v>
      </c>
      <c r="J63" s="259">
        <f>MAX(F63*0.95-1255000,0)</f>
        <v>0</v>
      </c>
      <c r="K63" s="259"/>
      <c r="L63" s="259"/>
    </row>
    <row r="64" spans="1:12" ht="25.5" x14ac:dyDescent="0.15">
      <c r="A64" s="268" t="s">
        <v>114</v>
      </c>
      <c r="B64" s="269"/>
      <c r="C64" s="269"/>
      <c r="D64" s="270"/>
      <c r="E64" s="60" t="s">
        <v>69</v>
      </c>
      <c r="F64" s="265"/>
      <c r="G64" s="265"/>
      <c r="H64" s="265"/>
      <c r="I64" s="61"/>
      <c r="J64" s="259">
        <f>MAX(F64*0.95-1755000,0)</f>
        <v>0</v>
      </c>
      <c r="K64" s="259"/>
      <c r="L64" s="259"/>
    </row>
    <row r="65" spans="1:12" x14ac:dyDescent="0.15">
      <c r="F65" s="62"/>
      <c r="G65" s="62"/>
      <c r="H65" s="62"/>
      <c r="I65" s="62"/>
      <c r="J65" s="62"/>
      <c r="K65" s="62"/>
      <c r="L65" s="62"/>
    </row>
    <row r="66" spans="1:12" x14ac:dyDescent="0.15">
      <c r="A66" s="285" t="s">
        <v>153</v>
      </c>
      <c r="B66" s="286"/>
      <c r="C66" s="286"/>
      <c r="D66" s="286"/>
      <c r="F66" s="62"/>
      <c r="G66" s="62"/>
      <c r="H66" s="62"/>
      <c r="I66" s="62"/>
      <c r="J66" s="62"/>
      <c r="K66" s="62"/>
      <c r="L66" s="62"/>
    </row>
    <row r="67" spans="1:12" x14ac:dyDescent="0.15">
      <c r="A67" s="286"/>
      <c r="B67" s="286"/>
      <c r="C67" s="286"/>
      <c r="D67" s="286"/>
      <c r="F67" s="62"/>
      <c r="G67" s="62"/>
      <c r="H67" s="62"/>
      <c r="I67" s="62"/>
      <c r="J67" s="62"/>
      <c r="K67" s="62"/>
      <c r="L67" s="62"/>
    </row>
    <row r="68" spans="1:12" ht="25.5" x14ac:dyDescent="0.15">
      <c r="A68" s="228" t="s">
        <v>146</v>
      </c>
      <c r="B68" s="228"/>
      <c r="C68" s="228"/>
      <c r="D68" s="228"/>
      <c r="E68" s="60" t="s">
        <v>69</v>
      </c>
      <c r="F68" s="265"/>
      <c r="G68" s="265"/>
      <c r="H68" s="265"/>
      <c r="I68" s="61" t="s">
        <v>69</v>
      </c>
      <c r="J68" s="259">
        <f>MAX(F68-900000,0)</f>
        <v>0</v>
      </c>
      <c r="K68" s="259"/>
      <c r="L68" s="259"/>
    </row>
    <row r="69" spans="1:12" ht="25.5" x14ac:dyDescent="0.15">
      <c r="A69" s="228" t="s">
        <v>145</v>
      </c>
      <c r="B69" s="228"/>
      <c r="C69" s="228" t="s">
        <v>109</v>
      </c>
      <c r="D69" s="228"/>
      <c r="E69" s="60" t="s">
        <v>69</v>
      </c>
      <c r="F69" s="265"/>
      <c r="G69" s="265"/>
      <c r="H69" s="265"/>
      <c r="I69" s="61" t="s">
        <v>69</v>
      </c>
      <c r="J69" s="259">
        <f>MAX(F69*0.75-75000,0)</f>
        <v>0</v>
      </c>
      <c r="K69" s="259"/>
      <c r="L69" s="259"/>
    </row>
    <row r="70" spans="1:12" ht="25.5" x14ac:dyDescent="0.15">
      <c r="A70" s="228" t="s">
        <v>111</v>
      </c>
      <c r="B70" s="228"/>
      <c r="C70" s="228" t="s">
        <v>110</v>
      </c>
      <c r="D70" s="228"/>
      <c r="E70" s="60" t="s">
        <v>69</v>
      </c>
      <c r="F70" s="265"/>
      <c r="G70" s="265"/>
      <c r="H70" s="265"/>
      <c r="I70" s="61" t="s">
        <v>69</v>
      </c>
      <c r="J70" s="259">
        <f>MAX(F70*0.85-485000,0)</f>
        <v>0</v>
      </c>
      <c r="K70" s="259"/>
      <c r="L70" s="259"/>
    </row>
    <row r="71" spans="1:12" ht="25.5" x14ac:dyDescent="0.15">
      <c r="A71" s="268" t="s">
        <v>112</v>
      </c>
      <c r="B71" s="270"/>
      <c r="C71" s="268" t="s">
        <v>113</v>
      </c>
      <c r="D71" s="270"/>
      <c r="E71" s="60" t="s">
        <v>69</v>
      </c>
      <c r="F71" s="265"/>
      <c r="G71" s="265"/>
      <c r="H71" s="265"/>
      <c r="I71" s="61" t="s">
        <v>69</v>
      </c>
      <c r="J71" s="259">
        <f>MAX(F71*0.95-1255000,0)</f>
        <v>0</v>
      </c>
      <c r="K71" s="259"/>
      <c r="L71" s="259"/>
    </row>
    <row r="72" spans="1:12" ht="25.5" x14ac:dyDescent="0.15">
      <c r="A72" s="268" t="s">
        <v>114</v>
      </c>
      <c r="B72" s="269"/>
      <c r="C72" s="269"/>
      <c r="D72" s="270"/>
      <c r="E72" s="60" t="s">
        <v>69</v>
      </c>
      <c r="F72" s="265"/>
      <c r="G72" s="265"/>
      <c r="H72" s="265"/>
      <c r="I72" s="61"/>
      <c r="J72" s="259">
        <f>MAX(F72*0.95-1755000,0)</f>
        <v>0</v>
      </c>
      <c r="K72" s="259"/>
      <c r="L72" s="259"/>
    </row>
  </sheetData>
  <mergeCells count="180">
    <mergeCell ref="A71:B71"/>
    <mergeCell ref="C71:D71"/>
    <mergeCell ref="F71:H71"/>
    <mergeCell ref="J71:L71"/>
    <mergeCell ref="A72:D72"/>
    <mergeCell ref="F72:H72"/>
    <mergeCell ref="J72:L72"/>
    <mergeCell ref="A69:B69"/>
    <mergeCell ref="C69:D69"/>
    <mergeCell ref="F69:H69"/>
    <mergeCell ref="J69:L69"/>
    <mergeCell ref="A70:B70"/>
    <mergeCell ref="C70:D70"/>
    <mergeCell ref="F70:H70"/>
    <mergeCell ref="J70:L70"/>
    <mergeCell ref="A64:D64"/>
    <mergeCell ref="F64:H64"/>
    <mergeCell ref="J64:L64"/>
    <mergeCell ref="A66:D67"/>
    <mergeCell ref="A68:D68"/>
    <mergeCell ref="F68:H68"/>
    <mergeCell ref="J68:L68"/>
    <mergeCell ref="A62:B62"/>
    <mergeCell ref="C62:D62"/>
    <mergeCell ref="F62:H62"/>
    <mergeCell ref="J62:L62"/>
    <mergeCell ref="A63:B63"/>
    <mergeCell ref="C63:D63"/>
    <mergeCell ref="F63:H63"/>
    <mergeCell ref="J63:L63"/>
    <mergeCell ref="A60:D60"/>
    <mergeCell ref="F60:H60"/>
    <mergeCell ref="J60:L60"/>
    <mergeCell ref="A61:B61"/>
    <mergeCell ref="C61:D61"/>
    <mergeCell ref="F61:H61"/>
    <mergeCell ref="J61:L61"/>
    <mergeCell ref="J55:L55"/>
    <mergeCell ref="A56:D57"/>
    <mergeCell ref="F56:H59"/>
    <mergeCell ref="J56:L59"/>
    <mergeCell ref="A58:D59"/>
    <mergeCell ref="A51:B51"/>
    <mergeCell ref="C51:D51"/>
    <mergeCell ref="F51:H51"/>
    <mergeCell ref="J51:L51"/>
    <mergeCell ref="A52:D52"/>
    <mergeCell ref="F52:H52"/>
    <mergeCell ref="J52:L52"/>
    <mergeCell ref="A49:B49"/>
    <mergeCell ref="C49:D49"/>
    <mergeCell ref="F49:H49"/>
    <mergeCell ref="J49:L49"/>
    <mergeCell ref="A50:B50"/>
    <mergeCell ref="C50:D50"/>
    <mergeCell ref="F50:H50"/>
    <mergeCell ref="J50:L50"/>
    <mergeCell ref="A44:D44"/>
    <mergeCell ref="F44:H44"/>
    <mergeCell ref="J44:L44"/>
    <mergeCell ref="A46:D47"/>
    <mergeCell ref="A48:D48"/>
    <mergeCell ref="F48:H48"/>
    <mergeCell ref="J48:L48"/>
    <mergeCell ref="A42:B42"/>
    <mergeCell ref="C42:D42"/>
    <mergeCell ref="F42:H42"/>
    <mergeCell ref="J42:L42"/>
    <mergeCell ref="A43:B43"/>
    <mergeCell ref="C43:D43"/>
    <mergeCell ref="F43:H43"/>
    <mergeCell ref="J43:L43"/>
    <mergeCell ref="A40:D40"/>
    <mergeCell ref="F40:H40"/>
    <mergeCell ref="J40:L40"/>
    <mergeCell ref="A41:B41"/>
    <mergeCell ref="C41:D41"/>
    <mergeCell ref="F41:H41"/>
    <mergeCell ref="J41:L41"/>
    <mergeCell ref="J35:L35"/>
    <mergeCell ref="A36:D37"/>
    <mergeCell ref="F36:H39"/>
    <mergeCell ref="J36:L39"/>
    <mergeCell ref="A38:D39"/>
    <mergeCell ref="O8:Q8"/>
    <mergeCell ref="O9:Q9"/>
    <mergeCell ref="O10:Q10"/>
    <mergeCell ref="O11:Q11"/>
    <mergeCell ref="O12:Q12"/>
    <mergeCell ref="O13:Q13"/>
    <mergeCell ref="L9:N9"/>
    <mergeCell ref="L10:N10"/>
    <mergeCell ref="L11:N11"/>
    <mergeCell ref="L12:N12"/>
    <mergeCell ref="L13:N13"/>
    <mergeCell ref="L8:N8"/>
    <mergeCell ref="I7:K7"/>
    <mergeCell ref="G7:H7"/>
    <mergeCell ref="O3:Q3"/>
    <mergeCell ref="O4:Q4"/>
    <mergeCell ref="O5:Q5"/>
    <mergeCell ref="O6:Q6"/>
    <mergeCell ref="O7:Q7"/>
    <mergeCell ref="L3:N3"/>
    <mergeCell ref="L4:N4"/>
    <mergeCell ref="L5:N5"/>
    <mergeCell ref="L6:N6"/>
    <mergeCell ref="L7:N7"/>
    <mergeCell ref="F21:H21"/>
    <mergeCell ref="E7:F7"/>
    <mergeCell ref="A32:D32"/>
    <mergeCell ref="F32:H32"/>
    <mergeCell ref="F24:H24"/>
    <mergeCell ref="I4:K4"/>
    <mergeCell ref="I8:K8"/>
    <mergeCell ref="I13:K13"/>
    <mergeCell ref="J30:L30"/>
    <mergeCell ref="J31:L31"/>
    <mergeCell ref="J28:L28"/>
    <mergeCell ref="J29:L29"/>
    <mergeCell ref="A22:B22"/>
    <mergeCell ref="C22:D22"/>
    <mergeCell ref="F22:H22"/>
    <mergeCell ref="J22:L22"/>
    <mergeCell ref="F23:H23"/>
    <mergeCell ref="J16:L19"/>
    <mergeCell ref="J23:L23"/>
    <mergeCell ref="J20:L20"/>
    <mergeCell ref="J21:L21"/>
    <mergeCell ref="J32:L32"/>
    <mergeCell ref="J24:L24"/>
    <mergeCell ref="I6:K6"/>
    <mergeCell ref="E6:F6"/>
    <mergeCell ref="G6:H6"/>
    <mergeCell ref="E2:H3"/>
    <mergeCell ref="A23:B23"/>
    <mergeCell ref="C23:D23"/>
    <mergeCell ref="A24:D24"/>
    <mergeCell ref="A31:B31"/>
    <mergeCell ref="C31:D31"/>
    <mergeCell ref="A30:B30"/>
    <mergeCell ref="C30:D30"/>
    <mergeCell ref="F30:H30"/>
    <mergeCell ref="F31:H31"/>
    <mergeCell ref="A26:D27"/>
    <mergeCell ref="A28:D28"/>
    <mergeCell ref="F28:H28"/>
    <mergeCell ref="A29:B29"/>
    <mergeCell ref="C29:D29"/>
    <mergeCell ref="F29:H29"/>
    <mergeCell ref="F16:H19"/>
    <mergeCell ref="A18:D19"/>
    <mergeCell ref="A20:D20"/>
    <mergeCell ref="F20:H20"/>
    <mergeCell ref="A21:B21"/>
    <mergeCell ref="C21:D21"/>
    <mergeCell ref="J15:L15"/>
    <mergeCell ref="A16:D17"/>
    <mergeCell ref="I3:K3"/>
    <mergeCell ref="I2:Q2"/>
    <mergeCell ref="E8:H8"/>
    <mergeCell ref="A4:D8"/>
    <mergeCell ref="A9:D13"/>
    <mergeCell ref="E12:F12"/>
    <mergeCell ref="G12:H12"/>
    <mergeCell ref="E13:H13"/>
    <mergeCell ref="I12:K12"/>
    <mergeCell ref="E9:H9"/>
    <mergeCell ref="I9:K9"/>
    <mergeCell ref="E10:F10"/>
    <mergeCell ref="G10:H10"/>
    <mergeCell ref="I10:K10"/>
    <mergeCell ref="E11:F11"/>
    <mergeCell ref="G11:H11"/>
    <mergeCell ref="A2:D3"/>
    <mergeCell ref="E4:H4"/>
    <mergeCell ref="E5:F5"/>
    <mergeCell ref="G5:H5"/>
    <mergeCell ref="I11:K11"/>
    <mergeCell ref="I5:K5"/>
  </mergeCells>
  <phoneticPr fontId="2"/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61"/>
  <sheetViews>
    <sheetView zoomScale="40" zoomScaleNormal="40" zoomScaleSheetLayoutView="40" workbookViewId="0"/>
  </sheetViews>
  <sheetFormatPr defaultRowHeight="13.5" x14ac:dyDescent="0.15"/>
  <cols>
    <col min="6" max="6" width="14.25" customWidth="1"/>
    <col min="7" max="7" width="10.375" customWidth="1"/>
    <col min="8" max="8" width="14.25" customWidth="1"/>
    <col min="9" max="9" width="13.375" customWidth="1"/>
    <col min="15" max="15" width="15.875" customWidth="1"/>
    <col min="31" max="31" width="10.5" bestFit="1" customWidth="1"/>
    <col min="35" max="35" width="20.375" bestFit="1" customWidth="1"/>
    <col min="46" max="46" width="12.875" customWidth="1"/>
  </cols>
  <sheetData>
    <row r="1" spans="1:46" ht="30.7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8"/>
      <c r="P1" s="18"/>
      <c r="Q1" s="18"/>
      <c r="R1" s="372" t="s">
        <v>25</v>
      </c>
      <c r="S1" s="372"/>
      <c r="T1" s="372"/>
      <c r="U1" s="372" t="s">
        <v>27</v>
      </c>
      <c r="V1" s="372"/>
      <c r="W1" s="372"/>
      <c r="X1" s="372" t="s">
        <v>28</v>
      </c>
      <c r="Y1" s="372"/>
      <c r="Z1" s="372"/>
      <c r="AA1" s="372" t="s">
        <v>29</v>
      </c>
      <c r="AB1" s="372"/>
      <c r="AC1" s="372"/>
      <c r="AD1" s="19"/>
      <c r="AE1" s="19"/>
      <c r="AF1" s="19"/>
      <c r="AG1" s="19"/>
      <c r="AH1" s="19"/>
      <c r="AI1" s="19"/>
      <c r="AJ1" s="19"/>
      <c r="AK1" s="20"/>
      <c r="AL1" s="20"/>
      <c r="AM1" s="19"/>
      <c r="AN1" s="19"/>
      <c r="AO1" s="19"/>
      <c r="AP1" s="19"/>
      <c r="AQ1" s="19"/>
      <c r="AR1" s="19"/>
      <c r="AS1" s="19"/>
      <c r="AT1" s="1"/>
    </row>
    <row r="2" spans="1:46" ht="18.75" x14ac:dyDescent="0.15">
      <c r="A2" s="15"/>
      <c r="B2" s="15"/>
      <c r="C2" s="15"/>
      <c r="D2" s="15"/>
      <c r="E2" s="15"/>
      <c r="F2" s="15"/>
      <c r="G2" s="15"/>
      <c r="H2" s="15"/>
      <c r="I2" s="15"/>
      <c r="J2" s="16"/>
      <c r="K2" s="16"/>
      <c r="L2" s="7"/>
      <c r="M2" s="7"/>
      <c r="N2" s="7"/>
      <c r="O2" s="18"/>
      <c r="P2" s="18"/>
      <c r="Q2" s="18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19"/>
      <c r="AE2" s="19"/>
      <c r="AF2" s="19"/>
      <c r="AG2" s="19"/>
      <c r="AH2" s="19"/>
      <c r="AI2" s="19"/>
      <c r="AJ2" s="19"/>
      <c r="AK2" s="20"/>
      <c r="AL2" s="20"/>
      <c r="AM2" s="19"/>
      <c r="AN2" s="19"/>
      <c r="AO2" s="19"/>
      <c r="AP2" s="19"/>
      <c r="AQ2" s="19"/>
      <c r="AR2" s="19"/>
      <c r="AS2" s="19"/>
      <c r="AT2" s="1"/>
    </row>
    <row r="3" spans="1:46" ht="15.75" thickBot="1" x14ac:dyDescent="0.2">
      <c r="A3" s="374" t="s">
        <v>5</v>
      </c>
      <c r="B3" s="375"/>
      <c r="C3" s="378" t="s">
        <v>45</v>
      </c>
      <c r="D3" s="379"/>
      <c r="E3" s="382" t="s">
        <v>7</v>
      </c>
      <c r="F3" s="383"/>
      <c r="G3" s="383"/>
      <c r="H3" s="383"/>
      <c r="I3" s="384"/>
      <c r="J3" s="388" t="s">
        <v>8</v>
      </c>
      <c r="K3" s="389"/>
      <c r="L3" s="390"/>
      <c r="M3" s="394" t="s">
        <v>34</v>
      </c>
      <c r="N3" s="394"/>
      <c r="O3" s="370" t="s">
        <v>10</v>
      </c>
      <c r="P3" s="292" t="s">
        <v>5</v>
      </c>
      <c r="Q3" s="292"/>
      <c r="R3" s="292" t="s">
        <v>8</v>
      </c>
      <c r="S3" s="292"/>
      <c r="T3" s="292"/>
      <c r="U3" s="292" t="s">
        <v>8</v>
      </c>
      <c r="V3" s="292"/>
      <c r="W3" s="292"/>
      <c r="X3" s="292" t="s">
        <v>8</v>
      </c>
      <c r="Y3" s="292"/>
      <c r="Z3" s="292"/>
      <c r="AA3" s="292" t="s">
        <v>8</v>
      </c>
      <c r="AB3" s="292"/>
      <c r="AC3" s="292"/>
      <c r="AD3" s="292" t="s">
        <v>8</v>
      </c>
      <c r="AE3" s="292"/>
      <c r="AF3" s="292"/>
      <c r="AG3" s="292"/>
      <c r="AH3" s="292"/>
      <c r="AI3" s="292"/>
      <c r="AJ3" s="292"/>
      <c r="AK3" s="182" t="s">
        <v>36</v>
      </c>
      <c r="AL3" s="182"/>
      <c r="AM3" s="182"/>
      <c r="AN3" s="182"/>
      <c r="AO3" s="182" t="s">
        <v>35</v>
      </c>
      <c r="AP3" s="182"/>
      <c r="AQ3" s="182"/>
      <c r="AR3" s="182"/>
      <c r="AS3" s="182"/>
      <c r="AT3" s="1"/>
    </row>
    <row r="4" spans="1:46" ht="15" x14ac:dyDescent="0.15">
      <c r="A4" s="376"/>
      <c r="B4" s="377"/>
      <c r="C4" s="380"/>
      <c r="D4" s="381"/>
      <c r="E4" s="385"/>
      <c r="F4" s="386"/>
      <c r="G4" s="386"/>
      <c r="H4" s="386"/>
      <c r="I4" s="387"/>
      <c r="J4" s="391"/>
      <c r="K4" s="392"/>
      <c r="L4" s="393"/>
      <c r="M4" s="394"/>
      <c r="N4" s="394"/>
      <c r="O4" s="371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49"/>
      <c r="AE4" s="50" t="s">
        <v>30</v>
      </c>
      <c r="AF4" s="50" t="s">
        <v>31</v>
      </c>
      <c r="AG4" s="50" t="s">
        <v>32</v>
      </c>
      <c r="AH4" s="50" t="s">
        <v>43</v>
      </c>
      <c r="AI4" s="73" t="s">
        <v>143</v>
      </c>
      <c r="AJ4" s="51" t="s">
        <v>33</v>
      </c>
      <c r="AK4" s="182"/>
      <c r="AL4" s="182"/>
      <c r="AM4" s="182"/>
      <c r="AN4" s="182"/>
      <c r="AO4" s="29" t="s">
        <v>30</v>
      </c>
      <c r="AP4" s="29" t="s">
        <v>31</v>
      </c>
      <c r="AQ4" s="29" t="s">
        <v>32</v>
      </c>
      <c r="AR4" s="29" t="s">
        <v>43</v>
      </c>
      <c r="AS4" s="29" t="s">
        <v>33</v>
      </c>
      <c r="AT4" s="368" t="s">
        <v>37</v>
      </c>
    </row>
    <row r="5" spans="1:46" ht="18.75" x14ac:dyDescent="0.15">
      <c r="A5" s="297">
        <f>MAX(P5,0)</f>
        <v>0</v>
      </c>
      <c r="B5" s="298"/>
      <c r="C5" s="184">
        <f>MAX(O5,0)</f>
        <v>0</v>
      </c>
      <c r="D5" s="184"/>
      <c r="E5" s="30" t="s">
        <v>11</v>
      </c>
      <c r="F5" s="296">
        <f>IF(保険税試算!B6="○",0,C5*P30*保険税試算!D6/12)</f>
        <v>0</v>
      </c>
      <c r="G5" s="296"/>
      <c r="H5" s="296"/>
      <c r="I5" s="296"/>
      <c r="J5" s="30" t="s">
        <v>11</v>
      </c>
      <c r="K5" s="296">
        <f t="shared" ref="K5:K19" si="0">AJ5</f>
        <v>0</v>
      </c>
      <c r="L5" s="296"/>
      <c r="M5" s="315">
        <f>保険税試算!C44</f>
        <v>0</v>
      </c>
      <c r="N5" s="315"/>
      <c r="O5" s="291">
        <f>IF(保険税試算!B27=1,0,保険税試算!G6-430000)</f>
        <v>-430000</v>
      </c>
      <c r="P5" s="292">
        <f>IF(保険税試算!I6="○",保険税試算!G6-150000,保険税試算!G6)</f>
        <v>0</v>
      </c>
      <c r="Q5" s="292"/>
      <c r="R5" s="52" t="s">
        <v>11</v>
      </c>
      <c r="S5" s="293">
        <f>P34*0.3*(保険税試算!D6)/12</f>
        <v>0</v>
      </c>
      <c r="T5" s="293"/>
      <c r="U5" s="52" t="s">
        <v>11</v>
      </c>
      <c r="V5" s="293">
        <f>P34*0.5*(保険税試算!D6)/12</f>
        <v>0</v>
      </c>
      <c r="W5" s="293"/>
      <c r="X5" s="52" t="s">
        <v>11</v>
      </c>
      <c r="Y5" s="293">
        <f>P34*0.8*(保険税試算!D6)/12</f>
        <v>0</v>
      </c>
      <c r="Z5" s="293"/>
      <c r="AA5" s="52" t="s">
        <v>11</v>
      </c>
      <c r="AB5" s="293">
        <f>P34*(保険税試算!D6)/12</f>
        <v>0</v>
      </c>
      <c r="AC5" s="293"/>
      <c r="AD5" s="52" t="s">
        <v>11</v>
      </c>
      <c r="AE5" s="52">
        <f>IF(L32="○",S5,0)</f>
        <v>0</v>
      </c>
      <c r="AF5" s="52">
        <f>IF(L36="○",V5,0)</f>
        <v>0</v>
      </c>
      <c r="AG5" s="52">
        <f>IF(L40="○",Y5,0)</f>
        <v>0</v>
      </c>
      <c r="AH5" s="52">
        <f>IF(AND(L32="×",L36="×",L40="×"),AB5,0)</f>
        <v>0</v>
      </c>
      <c r="AI5" s="79">
        <f>IF(COUNTIF(保険税試算!$K$6,"○"),SUM(AE5:AH5)/2*-1,0)</f>
        <v>0</v>
      </c>
      <c r="AJ5" s="53">
        <f>SUM(AE5:AI5)</f>
        <v>0</v>
      </c>
      <c r="AK5" s="182" t="s">
        <v>30</v>
      </c>
      <c r="AL5" s="182"/>
      <c r="AM5" s="182">
        <f>AM14*0.3</f>
        <v>9000</v>
      </c>
      <c r="AN5" s="182"/>
      <c r="AO5" s="182">
        <f>IF(L32="○",AM5,0)</f>
        <v>9000</v>
      </c>
      <c r="AP5" s="182">
        <f>IF(L36="○",AM8,0)</f>
        <v>0</v>
      </c>
      <c r="AQ5" s="182">
        <f>IF(L40="○",AM11,0)</f>
        <v>0</v>
      </c>
      <c r="AR5" s="182">
        <f>IF(AND(L32="×",L36="×",L40="×"),AM14,0)</f>
        <v>0</v>
      </c>
      <c r="AS5" s="182">
        <f>SUM(AO5:AR7)</f>
        <v>9000</v>
      </c>
      <c r="AT5" s="369"/>
    </row>
    <row r="6" spans="1:46" ht="18.75" x14ac:dyDescent="0.15">
      <c r="A6" s="297"/>
      <c r="B6" s="298"/>
      <c r="C6" s="184"/>
      <c r="D6" s="184"/>
      <c r="E6" s="31" t="s">
        <v>12</v>
      </c>
      <c r="F6" s="308">
        <f>IF(保険税試算!B6="○",0,C5*R30*保険税試算!D6/12)</f>
        <v>0</v>
      </c>
      <c r="G6" s="308"/>
      <c r="H6" s="308"/>
      <c r="I6" s="308"/>
      <c r="J6" s="31" t="s">
        <v>12</v>
      </c>
      <c r="K6" s="308">
        <f t="shared" si="0"/>
        <v>0</v>
      </c>
      <c r="L6" s="308"/>
      <c r="M6" s="315"/>
      <c r="N6" s="315"/>
      <c r="O6" s="291"/>
      <c r="P6" s="292"/>
      <c r="Q6" s="292"/>
      <c r="R6" s="54" t="s">
        <v>12</v>
      </c>
      <c r="S6" s="294">
        <f>R34*0.3*(保険税試算!D6)/12</f>
        <v>0</v>
      </c>
      <c r="T6" s="294"/>
      <c r="U6" s="54" t="s">
        <v>12</v>
      </c>
      <c r="V6" s="294">
        <f>R34*0.5*(保険税試算!D6)/12</f>
        <v>0</v>
      </c>
      <c r="W6" s="294"/>
      <c r="X6" s="54" t="s">
        <v>12</v>
      </c>
      <c r="Y6" s="294">
        <f>R34*0.8*(保険税試算!D6)/12</f>
        <v>0</v>
      </c>
      <c r="Z6" s="294"/>
      <c r="AA6" s="54" t="s">
        <v>12</v>
      </c>
      <c r="AB6" s="294">
        <f>R34*(保険税試算!D6)/12</f>
        <v>0</v>
      </c>
      <c r="AC6" s="294"/>
      <c r="AD6" s="54" t="s">
        <v>12</v>
      </c>
      <c r="AE6" s="54">
        <f>IF(L32="○",S6,0)</f>
        <v>0</v>
      </c>
      <c r="AF6" s="54">
        <f>IF(L36="○",V6,0)</f>
        <v>0</v>
      </c>
      <c r="AG6" s="54">
        <f>IF(L40="○",Y6,0)</f>
        <v>0</v>
      </c>
      <c r="AH6" s="54">
        <f>IF(AND(L32="×",L36="×",L40="×"),AB6,0)</f>
        <v>0</v>
      </c>
      <c r="AI6" s="79">
        <f>IF(COUNTIF(保険税試算!$K$6,"○"),SUM(AE6:AH6)/2*-1,0)</f>
        <v>0</v>
      </c>
      <c r="AJ6" s="53">
        <f t="shared" ref="AJ6:AJ25" si="1">SUM(AE6:AI6)</f>
        <v>0</v>
      </c>
      <c r="AK6" s="182"/>
      <c r="AL6" s="182"/>
      <c r="AM6" s="182"/>
      <c r="AN6" s="182"/>
      <c r="AO6" s="182"/>
      <c r="AP6" s="182"/>
      <c r="AQ6" s="182"/>
      <c r="AR6" s="182"/>
      <c r="AS6" s="182"/>
      <c r="AT6" s="367">
        <f>IF(OR(保険税試算!C6="○",保険税試算!E6="○"),F5+F6+F7+K5+K6+K7+M5/保険税試算!C27,0)</f>
        <v>0</v>
      </c>
    </row>
    <row r="7" spans="1:46" ht="18.75" x14ac:dyDescent="0.15">
      <c r="A7" s="297"/>
      <c r="B7" s="298"/>
      <c r="C7" s="184"/>
      <c r="D7" s="184"/>
      <c r="E7" s="27" t="s">
        <v>13</v>
      </c>
      <c r="F7" s="341">
        <f>IF(保険税試算!E6="○",C5*T30*保険税試算!F6/12,0)</f>
        <v>0</v>
      </c>
      <c r="G7" s="341"/>
      <c r="H7" s="341"/>
      <c r="I7" s="341"/>
      <c r="J7" s="27" t="s">
        <v>13</v>
      </c>
      <c r="K7" s="341">
        <f t="shared" si="0"/>
        <v>0</v>
      </c>
      <c r="L7" s="341"/>
      <c r="M7" s="315"/>
      <c r="N7" s="315"/>
      <c r="O7" s="291"/>
      <c r="P7" s="292"/>
      <c r="Q7" s="292"/>
      <c r="R7" s="55" t="s">
        <v>13</v>
      </c>
      <c r="S7" s="295">
        <f>T34*0.3*保険税試算!F6/12</f>
        <v>0</v>
      </c>
      <c r="T7" s="295"/>
      <c r="U7" s="55" t="s">
        <v>13</v>
      </c>
      <c r="V7" s="295">
        <f>T34*0.5*(保険税試算!F6)/12</f>
        <v>0</v>
      </c>
      <c r="W7" s="295"/>
      <c r="X7" s="55" t="s">
        <v>13</v>
      </c>
      <c r="Y7" s="295">
        <f>T34*0.8*(保険税試算!F6)/12</f>
        <v>0</v>
      </c>
      <c r="Z7" s="295"/>
      <c r="AA7" s="55" t="s">
        <v>13</v>
      </c>
      <c r="AB7" s="295">
        <f>T34*(保険税試算!F6)/12</f>
        <v>0</v>
      </c>
      <c r="AC7" s="295"/>
      <c r="AD7" s="55" t="s">
        <v>13</v>
      </c>
      <c r="AE7" s="55">
        <f>IF(L32="○",S7,0)</f>
        <v>0</v>
      </c>
      <c r="AF7" s="55">
        <f>IF(L36="○",V7,0)</f>
        <v>0</v>
      </c>
      <c r="AG7" s="55">
        <f>IF(L40="○",Y7,0)</f>
        <v>0</v>
      </c>
      <c r="AH7" s="55">
        <f>IF(AND(L32="×",L36="×",L40="×"),AB7,0)</f>
        <v>0</v>
      </c>
      <c r="AI7" s="79">
        <f>IF(COUNTIF(保険税試算!$K$6,"○"),SUM(AE7:AH7)/2*-1,0)</f>
        <v>0</v>
      </c>
      <c r="AJ7" s="53">
        <f t="shared" si="1"/>
        <v>0</v>
      </c>
      <c r="AK7" s="182"/>
      <c r="AL7" s="182"/>
      <c r="AM7" s="182"/>
      <c r="AN7" s="182"/>
      <c r="AO7" s="182"/>
      <c r="AP7" s="182"/>
      <c r="AQ7" s="182"/>
      <c r="AR7" s="182"/>
      <c r="AS7" s="182"/>
      <c r="AT7" s="367"/>
    </row>
    <row r="8" spans="1:46" ht="18.75" x14ac:dyDescent="0.15">
      <c r="A8" s="297">
        <f>MAX(P8,0)</f>
        <v>0</v>
      </c>
      <c r="B8" s="298"/>
      <c r="C8" s="184">
        <f>MAX(O8,0)</f>
        <v>0</v>
      </c>
      <c r="D8" s="184"/>
      <c r="E8" s="30" t="s">
        <v>11</v>
      </c>
      <c r="F8" s="296">
        <f>IF(保険税試算!B9="○",0,C8*P30*保険税試算!D9/12)</f>
        <v>0</v>
      </c>
      <c r="G8" s="296"/>
      <c r="H8" s="296"/>
      <c r="I8" s="296"/>
      <c r="J8" s="30" t="s">
        <v>11</v>
      </c>
      <c r="K8" s="296">
        <f t="shared" si="0"/>
        <v>0</v>
      </c>
      <c r="L8" s="296"/>
      <c r="M8" s="315"/>
      <c r="N8" s="315"/>
      <c r="O8" s="291">
        <f>保険税試算!G9-430000</f>
        <v>-430000</v>
      </c>
      <c r="P8" s="292">
        <f>IF(保険税試算!I9="○",保険税試算!G9-150000,保険税試算!G9)</f>
        <v>0</v>
      </c>
      <c r="Q8" s="292"/>
      <c r="R8" s="52" t="s">
        <v>11</v>
      </c>
      <c r="S8" s="293">
        <f>P34*0.3*(保険税試算!D9)/12</f>
        <v>0</v>
      </c>
      <c r="T8" s="293"/>
      <c r="U8" s="52" t="s">
        <v>11</v>
      </c>
      <c r="V8" s="293">
        <f>P34*0.5*(保険税試算!D9)/12</f>
        <v>0</v>
      </c>
      <c r="W8" s="293"/>
      <c r="X8" s="52" t="s">
        <v>11</v>
      </c>
      <c r="Y8" s="293">
        <f>P34*0.8*(保険税試算!D9)/12</f>
        <v>0</v>
      </c>
      <c r="Z8" s="293"/>
      <c r="AA8" s="52" t="s">
        <v>11</v>
      </c>
      <c r="AB8" s="293">
        <f>P34*(保険税試算!D9)/12</f>
        <v>0</v>
      </c>
      <c r="AC8" s="293"/>
      <c r="AD8" s="52" t="s">
        <v>11</v>
      </c>
      <c r="AE8" s="52">
        <f>IF(L32="○",S8,0)</f>
        <v>0</v>
      </c>
      <c r="AF8" s="52">
        <f>IF(L36="○",V8,0)</f>
        <v>0</v>
      </c>
      <c r="AG8" s="52">
        <f>IF(L40="○",Y8,0)</f>
        <v>0</v>
      </c>
      <c r="AH8" s="52">
        <f>IF(AND(L32="×",L36="×",L40="×"),AB8,0)</f>
        <v>0</v>
      </c>
      <c r="AI8" s="77">
        <f>IF(COUNTIF(保険税試算!$K$9,"○"),SUM(AE8:AH8)/2*-1,0)</f>
        <v>0</v>
      </c>
      <c r="AJ8" s="53">
        <f t="shared" si="1"/>
        <v>0</v>
      </c>
      <c r="AK8" s="182" t="s">
        <v>31</v>
      </c>
      <c r="AL8" s="182"/>
      <c r="AM8" s="182">
        <f>AM14*0.5</f>
        <v>15000</v>
      </c>
      <c r="AN8" s="182"/>
      <c r="AO8" s="22"/>
      <c r="AP8" s="22"/>
      <c r="AQ8" s="22"/>
      <c r="AR8" s="22"/>
      <c r="AS8" s="22"/>
      <c r="AT8" s="367"/>
    </row>
    <row r="9" spans="1:46" ht="18.75" x14ac:dyDescent="0.15">
      <c r="A9" s="297"/>
      <c r="B9" s="298"/>
      <c r="C9" s="184"/>
      <c r="D9" s="184"/>
      <c r="E9" s="31" t="s">
        <v>12</v>
      </c>
      <c r="F9" s="308">
        <f>IF(保険税試算!B9="○",0,C8*R30*保険税試算!D9/12)</f>
        <v>0</v>
      </c>
      <c r="G9" s="308"/>
      <c r="H9" s="308"/>
      <c r="I9" s="308"/>
      <c r="J9" s="31" t="s">
        <v>12</v>
      </c>
      <c r="K9" s="308">
        <f t="shared" si="0"/>
        <v>0</v>
      </c>
      <c r="L9" s="308"/>
      <c r="M9" s="315"/>
      <c r="N9" s="315"/>
      <c r="O9" s="291"/>
      <c r="P9" s="292"/>
      <c r="Q9" s="292"/>
      <c r="R9" s="54" t="s">
        <v>12</v>
      </c>
      <c r="S9" s="294">
        <f>R34*0.3*(保険税試算!D9)/12</f>
        <v>0</v>
      </c>
      <c r="T9" s="294"/>
      <c r="U9" s="54" t="s">
        <v>12</v>
      </c>
      <c r="V9" s="294">
        <f>R34*0.5*(保険税試算!D9)/12</f>
        <v>0</v>
      </c>
      <c r="W9" s="294"/>
      <c r="X9" s="54" t="s">
        <v>12</v>
      </c>
      <c r="Y9" s="294">
        <f>R34*0.8*(保険税試算!D9)/12</f>
        <v>0</v>
      </c>
      <c r="Z9" s="294"/>
      <c r="AA9" s="54" t="s">
        <v>12</v>
      </c>
      <c r="AB9" s="294">
        <f>R34*(保険税試算!D9)/12</f>
        <v>0</v>
      </c>
      <c r="AC9" s="294"/>
      <c r="AD9" s="54" t="s">
        <v>12</v>
      </c>
      <c r="AE9" s="54">
        <f>IF(L32="○",S9,0)</f>
        <v>0</v>
      </c>
      <c r="AF9" s="54">
        <f>IF(L36="○",V9,0)</f>
        <v>0</v>
      </c>
      <c r="AG9" s="54">
        <f>IF(L40="○",Y9,0)</f>
        <v>0</v>
      </c>
      <c r="AH9" s="54">
        <f>IF(AND(L32="×",L36="×",L40="×"),AB9,0)</f>
        <v>0</v>
      </c>
      <c r="AI9" s="77">
        <f>IF(COUNTIF(保険税試算!$K$9,"○"),SUM(AE9:AH9)/2*-1,0)</f>
        <v>0</v>
      </c>
      <c r="AJ9" s="53">
        <f t="shared" si="1"/>
        <v>0</v>
      </c>
      <c r="AK9" s="182"/>
      <c r="AL9" s="182"/>
      <c r="AM9" s="182"/>
      <c r="AN9" s="182"/>
      <c r="AO9" s="22"/>
      <c r="AP9" s="22"/>
      <c r="AQ9" s="22"/>
      <c r="AR9" s="22"/>
      <c r="AS9" s="22"/>
      <c r="AT9" s="367">
        <f>IF(OR(保険税試算!C9="○",保険税試算!E9="○"),F8+F9+F10+K8+K9+K10+M5/保険税試算!C27,0)</f>
        <v>0</v>
      </c>
    </row>
    <row r="10" spans="1:46" ht="18.75" x14ac:dyDescent="0.15">
      <c r="A10" s="297"/>
      <c r="B10" s="298"/>
      <c r="C10" s="184"/>
      <c r="D10" s="184"/>
      <c r="E10" s="27" t="s">
        <v>13</v>
      </c>
      <c r="F10" s="341">
        <f>IF(保険税試算!E9="○",C8*T30*保険税試算!F9/12,0)</f>
        <v>0</v>
      </c>
      <c r="G10" s="341"/>
      <c r="H10" s="341"/>
      <c r="I10" s="341"/>
      <c r="J10" s="27" t="s">
        <v>13</v>
      </c>
      <c r="K10" s="341">
        <f t="shared" si="0"/>
        <v>0</v>
      </c>
      <c r="L10" s="341"/>
      <c r="M10" s="315"/>
      <c r="N10" s="315"/>
      <c r="O10" s="291"/>
      <c r="P10" s="292"/>
      <c r="Q10" s="292"/>
      <c r="R10" s="55" t="s">
        <v>13</v>
      </c>
      <c r="S10" s="295">
        <f>T34*0.3*(保険税試算!F9)/12</f>
        <v>0</v>
      </c>
      <c r="T10" s="295"/>
      <c r="U10" s="55" t="s">
        <v>13</v>
      </c>
      <c r="V10" s="295">
        <f>T34*0.5*(保険税試算!F9)/12</f>
        <v>0</v>
      </c>
      <c r="W10" s="295"/>
      <c r="X10" s="55" t="s">
        <v>13</v>
      </c>
      <c r="Y10" s="295">
        <f>T34*0.8*(保険税試算!F9)/12</f>
        <v>0</v>
      </c>
      <c r="Z10" s="295"/>
      <c r="AA10" s="55" t="s">
        <v>13</v>
      </c>
      <c r="AB10" s="295">
        <f>T34*(保険税試算!F9)/12</f>
        <v>0</v>
      </c>
      <c r="AC10" s="295"/>
      <c r="AD10" s="55" t="s">
        <v>13</v>
      </c>
      <c r="AE10" s="55">
        <f>IF(L32="○",S10,0)</f>
        <v>0</v>
      </c>
      <c r="AF10" s="55">
        <f>IF(L36="○",V10,0)</f>
        <v>0</v>
      </c>
      <c r="AG10" s="55">
        <f>IF(L40="○",Y10,0)</f>
        <v>0</v>
      </c>
      <c r="AH10" s="55">
        <f>IF(AND(L32="×",L36="×",L40="×"),AB10,0)</f>
        <v>0</v>
      </c>
      <c r="AI10" s="77">
        <f>IF(COUNTIF(保険税試算!$K$9,"○"),SUM(AE10:AH10)/2*-1,0)</f>
        <v>0</v>
      </c>
      <c r="AJ10" s="53">
        <f t="shared" si="1"/>
        <v>0</v>
      </c>
      <c r="AK10" s="182"/>
      <c r="AL10" s="182"/>
      <c r="AM10" s="182"/>
      <c r="AN10" s="182"/>
      <c r="AO10" s="22"/>
      <c r="AP10" s="22"/>
      <c r="AQ10" s="22"/>
      <c r="AR10" s="22"/>
      <c r="AS10" s="22"/>
      <c r="AT10" s="367"/>
    </row>
    <row r="11" spans="1:46" ht="18.75" x14ac:dyDescent="0.15">
      <c r="A11" s="297">
        <f>MAX(P11,0)</f>
        <v>0</v>
      </c>
      <c r="B11" s="298"/>
      <c r="C11" s="184">
        <f>MAX(O11,0)</f>
        <v>0</v>
      </c>
      <c r="D11" s="184"/>
      <c r="E11" s="30" t="s">
        <v>11</v>
      </c>
      <c r="F11" s="296">
        <f>IF(保険税試算!B12="○",0,C11*P30*保険税試算!D12/12)</f>
        <v>0</v>
      </c>
      <c r="G11" s="296"/>
      <c r="H11" s="296"/>
      <c r="I11" s="296"/>
      <c r="J11" s="30" t="s">
        <v>11</v>
      </c>
      <c r="K11" s="296">
        <f>AJ11</f>
        <v>0</v>
      </c>
      <c r="L11" s="296"/>
      <c r="M11" s="315"/>
      <c r="N11" s="315"/>
      <c r="O11" s="291">
        <f>保険税試算!G12-430000</f>
        <v>-430000</v>
      </c>
      <c r="P11" s="292">
        <f>IF(保険税試算!I12="○",保険税試算!G12-150000,保険税試算!G12)</f>
        <v>0</v>
      </c>
      <c r="Q11" s="292"/>
      <c r="R11" s="52" t="s">
        <v>11</v>
      </c>
      <c r="S11" s="293">
        <f>P34*0.3*(保険税試算!D12)/12</f>
        <v>0</v>
      </c>
      <c r="T11" s="293"/>
      <c r="U11" s="52" t="s">
        <v>11</v>
      </c>
      <c r="V11" s="293">
        <f>P34*0.5*(保険税試算!D12)/12</f>
        <v>0</v>
      </c>
      <c r="W11" s="293"/>
      <c r="X11" s="52" t="s">
        <v>11</v>
      </c>
      <c r="Y11" s="293">
        <f>P34*0.8*(保険税試算!D12)/12</f>
        <v>0</v>
      </c>
      <c r="Z11" s="293"/>
      <c r="AA11" s="52" t="s">
        <v>11</v>
      </c>
      <c r="AB11" s="293">
        <f>P34*(保険税試算!D12)/12</f>
        <v>0</v>
      </c>
      <c r="AC11" s="293"/>
      <c r="AD11" s="52" t="s">
        <v>11</v>
      </c>
      <c r="AE11" s="52">
        <f>IF(L32="○",S11,0)</f>
        <v>0</v>
      </c>
      <c r="AF11" s="52">
        <f>IF(L36="○",V11,0)</f>
        <v>0</v>
      </c>
      <c r="AG11" s="52">
        <f>IF(L40="○",Y11,0)</f>
        <v>0</v>
      </c>
      <c r="AH11" s="52">
        <f>IF(AND(L32="×",L36="×",L40="×"),AB11,0)</f>
        <v>0</v>
      </c>
      <c r="AI11" s="79">
        <f>IF(COUNTIF(保険税試算!$K$12,"○"),SUM(AE11:AH11)/2*-1,0)</f>
        <v>0</v>
      </c>
      <c r="AJ11" s="53">
        <f t="shared" si="1"/>
        <v>0</v>
      </c>
      <c r="AK11" s="182" t="s">
        <v>32</v>
      </c>
      <c r="AL11" s="182"/>
      <c r="AM11" s="182">
        <f>AM14*0.8</f>
        <v>24000</v>
      </c>
      <c r="AN11" s="182"/>
      <c r="AO11" s="22"/>
      <c r="AP11" s="22"/>
      <c r="AQ11" s="22"/>
      <c r="AR11" s="22"/>
      <c r="AS11" s="22"/>
      <c r="AT11" s="367"/>
    </row>
    <row r="12" spans="1:46" ht="18.75" x14ac:dyDescent="0.15">
      <c r="A12" s="297"/>
      <c r="B12" s="298"/>
      <c r="C12" s="184"/>
      <c r="D12" s="184"/>
      <c r="E12" s="31" t="s">
        <v>12</v>
      </c>
      <c r="F12" s="308">
        <f>IF(保険税試算!B12="○",0,C11*R30*保険税試算!D12/12)</f>
        <v>0</v>
      </c>
      <c r="G12" s="308"/>
      <c r="H12" s="308"/>
      <c r="I12" s="308"/>
      <c r="J12" s="31" t="s">
        <v>12</v>
      </c>
      <c r="K12" s="308">
        <f t="shared" si="0"/>
        <v>0</v>
      </c>
      <c r="L12" s="308"/>
      <c r="M12" s="315"/>
      <c r="N12" s="315"/>
      <c r="O12" s="291"/>
      <c r="P12" s="292"/>
      <c r="Q12" s="292"/>
      <c r="R12" s="54" t="s">
        <v>12</v>
      </c>
      <c r="S12" s="294">
        <f>R34*0.3*(保険税試算!D12)/12</f>
        <v>0</v>
      </c>
      <c r="T12" s="294"/>
      <c r="U12" s="54" t="s">
        <v>12</v>
      </c>
      <c r="V12" s="294">
        <f>R34*0.5*(保険税試算!D12)/12</f>
        <v>0</v>
      </c>
      <c r="W12" s="294"/>
      <c r="X12" s="54" t="s">
        <v>12</v>
      </c>
      <c r="Y12" s="294">
        <f>R34*0.8*(保険税試算!D12)/12</f>
        <v>0</v>
      </c>
      <c r="Z12" s="294"/>
      <c r="AA12" s="54" t="s">
        <v>12</v>
      </c>
      <c r="AB12" s="294">
        <f>R34*(保険税試算!D12)/12</f>
        <v>0</v>
      </c>
      <c r="AC12" s="294"/>
      <c r="AD12" s="54" t="s">
        <v>12</v>
      </c>
      <c r="AE12" s="54">
        <f>IF(L32="○",S12,0)</f>
        <v>0</v>
      </c>
      <c r="AF12" s="54">
        <f>IF(L36="○",V12,0)</f>
        <v>0</v>
      </c>
      <c r="AG12" s="54">
        <f>IF(L40="○",Y12,0)</f>
        <v>0</v>
      </c>
      <c r="AH12" s="54">
        <f>IF(AND(L32="×",L36="×",L40="×"),AB12,0)</f>
        <v>0</v>
      </c>
      <c r="AI12" s="79">
        <f>IF(COUNTIF(保険税試算!$K$12,"○"),SUM(AE12:AH12)/2*-1,0)</f>
        <v>0</v>
      </c>
      <c r="AJ12" s="53">
        <f t="shared" si="1"/>
        <v>0</v>
      </c>
      <c r="AK12" s="182"/>
      <c r="AL12" s="182"/>
      <c r="AM12" s="182"/>
      <c r="AN12" s="182"/>
      <c r="AO12" s="22"/>
      <c r="AP12" s="22"/>
      <c r="AQ12" s="22"/>
      <c r="AR12" s="22"/>
      <c r="AS12" s="22"/>
      <c r="AT12" s="367">
        <f>IF(OR(保険税試算!C12="○",保険税試算!E12="○"),F11+F12+F13+K11+K12+K13+M5/保険税試算!C27,0)</f>
        <v>0</v>
      </c>
    </row>
    <row r="13" spans="1:46" ht="18.75" x14ac:dyDescent="0.15">
      <c r="A13" s="297"/>
      <c r="B13" s="298"/>
      <c r="C13" s="184"/>
      <c r="D13" s="184"/>
      <c r="E13" s="27" t="s">
        <v>13</v>
      </c>
      <c r="F13" s="341">
        <f>IF(保険税試算!E12="○",C11*T30*保険税試算!F12/12,0)</f>
        <v>0</v>
      </c>
      <c r="G13" s="341"/>
      <c r="H13" s="341"/>
      <c r="I13" s="341"/>
      <c r="J13" s="27" t="s">
        <v>13</v>
      </c>
      <c r="K13" s="341">
        <f t="shared" si="0"/>
        <v>0</v>
      </c>
      <c r="L13" s="341"/>
      <c r="M13" s="315"/>
      <c r="N13" s="315"/>
      <c r="O13" s="291"/>
      <c r="P13" s="292"/>
      <c r="Q13" s="292"/>
      <c r="R13" s="55" t="s">
        <v>13</v>
      </c>
      <c r="S13" s="295">
        <f>T34*0.3*(保険税試算!F12)/12</f>
        <v>0</v>
      </c>
      <c r="T13" s="295"/>
      <c r="U13" s="55" t="s">
        <v>13</v>
      </c>
      <c r="V13" s="295">
        <f>T34*0.5*(保険税試算!F12)/12</f>
        <v>0</v>
      </c>
      <c r="W13" s="295"/>
      <c r="X13" s="55" t="s">
        <v>13</v>
      </c>
      <c r="Y13" s="295">
        <f>T34*0.8*(保険税試算!F12)/12</f>
        <v>0</v>
      </c>
      <c r="Z13" s="295"/>
      <c r="AA13" s="55" t="s">
        <v>13</v>
      </c>
      <c r="AB13" s="295">
        <f>T34*(保険税試算!F12)/12</f>
        <v>0</v>
      </c>
      <c r="AC13" s="295"/>
      <c r="AD13" s="55" t="s">
        <v>13</v>
      </c>
      <c r="AE13" s="55">
        <f>IF(L32="○",S13,0)</f>
        <v>0</v>
      </c>
      <c r="AF13" s="55">
        <f>IF(L36="○",V13,0)</f>
        <v>0</v>
      </c>
      <c r="AG13" s="55">
        <f>IF(L40="○",Y13,0)</f>
        <v>0</v>
      </c>
      <c r="AH13" s="55">
        <f>IF(AND(L32="×",L36="×",L40="×"),AB13,0)</f>
        <v>0</v>
      </c>
      <c r="AI13" s="79">
        <f>IF(COUNTIF(保険税試算!$K$12,"○"),SUM(AE13:AH13)/2*-1,0)</f>
        <v>0</v>
      </c>
      <c r="AJ13" s="53">
        <f t="shared" si="1"/>
        <v>0</v>
      </c>
      <c r="AK13" s="182"/>
      <c r="AL13" s="182"/>
      <c r="AM13" s="182"/>
      <c r="AN13" s="182"/>
      <c r="AO13" s="22"/>
      <c r="AP13" s="22"/>
      <c r="AQ13" s="22"/>
      <c r="AR13" s="22"/>
      <c r="AS13" s="22"/>
      <c r="AT13" s="367"/>
    </row>
    <row r="14" spans="1:46" ht="18.75" x14ac:dyDescent="0.15">
      <c r="A14" s="297">
        <f>MAX(P14,0)</f>
        <v>0</v>
      </c>
      <c r="B14" s="298"/>
      <c r="C14" s="184">
        <f>MAX(O14,0)</f>
        <v>0</v>
      </c>
      <c r="D14" s="184"/>
      <c r="E14" s="30" t="s">
        <v>11</v>
      </c>
      <c r="F14" s="296">
        <f>IF(保険税試算!B15="○",0,C14*P30*保険税試算!D15/12)</f>
        <v>0</v>
      </c>
      <c r="G14" s="296"/>
      <c r="H14" s="296"/>
      <c r="I14" s="296"/>
      <c r="J14" s="30" t="s">
        <v>11</v>
      </c>
      <c r="K14" s="296">
        <f t="shared" si="0"/>
        <v>0</v>
      </c>
      <c r="L14" s="296"/>
      <c r="M14" s="315"/>
      <c r="N14" s="315"/>
      <c r="O14" s="291">
        <f>保険税試算!G15-430000</f>
        <v>-430000</v>
      </c>
      <c r="P14" s="292">
        <f>IF(保険税試算!I15="○",保険税試算!G15-150000,保険税試算!G15)</f>
        <v>0</v>
      </c>
      <c r="Q14" s="292"/>
      <c r="R14" s="52" t="s">
        <v>11</v>
      </c>
      <c r="S14" s="293">
        <f>P34*0.3*(保険税試算!D15)/12</f>
        <v>0</v>
      </c>
      <c r="T14" s="293"/>
      <c r="U14" s="52" t="s">
        <v>11</v>
      </c>
      <c r="V14" s="293">
        <f>P34*0.5*(保険税試算!D15)/12</f>
        <v>0</v>
      </c>
      <c r="W14" s="293"/>
      <c r="X14" s="52" t="s">
        <v>11</v>
      </c>
      <c r="Y14" s="293">
        <f>P34*0.8*(保険税試算!D15)/12</f>
        <v>0</v>
      </c>
      <c r="Z14" s="293"/>
      <c r="AA14" s="52" t="s">
        <v>11</v>
      </c>
      <c r="AB14" s="293">
        <f>P34*(保険税試算!D15)/12</f>
        <v>0</v>
      </c>
      <c r="AC14" s="293"/>
      <c r="AD14" s="52" t="s">
        <v>11</v>
      </c>
      <c r="AE14" s="52">
        <f>IF(L32="○",S14,0)</f>
        <v>0</v>
      </c>
      <c r="AF14" s="52">
        <f>IF(L36="○",V14,0)</f>
        <v>0</v>
      </c>
      <c r="AG14" s="52">
        <f>IF(L40="○",Y14,0)</f>
        <v>0</v>
      </c>
      <c r="AH14" s="52">
        <f>IF(AND(L32="×",L36="×",L40="×"),AB14,0)</f>
        <v>0</v>
      </c>
      <c r="AI14" s="77">
        <f>IF(COUNTIF(保険税試算!$K$15,"○"),SUM(AE14:AH14)/2*-1,0)</f>
        <v>0</v>
      </c>
      <c r="AJ14" s="53">
        <f t="shared" si="1"/>
        <v>0</v>
      </c>
      <c r="AK14" s="182" t="s">
        <v>43</v>
      </c>
      <c r="AL14" s="182"/>
      <c r="AM14" s="182">
        <f>P38</f>
        <v>30000</v>
      </c>
      <c r="AN14" s="182"/>
      <c r="AO14" s="22"/>
      <c r="AP14" s="22"/>
      <c r="AQ14" s="22"/>
      <c r="AR14" s="22"/>
      <c r="AS14" s="22"/>
      <c r="AT14" s="367"/>
    </row>
    <row r="15" spans="1:46" ht="18.75" x14ac:dyDescent="0.15">
      <c r="A15" s="297"/>
      <c r="B15" s="298"/>
      <c r="C15" s="184"/>
      <c r="D15" s="184"/>
      <c r="E15" s="31" t="s">
        <v>12</v>
      </c>
      <c r="F15" s="308">
        <f>IF(保険税試算!B15="○",0,C14*R30*保険税試算!D15/12)</f>
        <v>0</v>
      </c>
      <c r="G15" s="308"/>
      <c r="H15" s="308"/>
      <c r="I15" s="308"/>
      <c r="J15" s="31" t="s">
        <v>12</v>
      </c>
      <c r="K15" s="308">
        <f t="shared" si="0"/>
        <v>0</v>
      </c>
      <c r="L15" s="308"/>
      <c r="M15" s="315"/>
      <c r="N15" s="315"/>
      <c r="O15" s="291"/>
      <c r="P15" s="292"/>
      <c r="Q15" s="292"/>
      <c r="R15" s="54" t="s">
        <v>12</v>
      </c>
      <c r="S15" s="294">
        <f>R34*0.3*(保険税試算!D15)/12</f>
        <v>0</v>
      </c>
      <c r="T15" s="294"/>
      <c r="U15" s="54" t="s">
        <v>12</v>
      </c>
      <c r="V15" s="294">
        <f>R34*0.5*(保険税試算!D15)/12</f>
        <v>0</v>
      </c>
      <c r="W15" s="294"/>
      <c r="X15" s="54" t="s">
        <v>12</v>
      </c>
      <c r="Y15" s="294">
        <f>R34*0.8*(保険税試算!D15)/12</f>
        <v>0</v>
      </c>
      <c r="Z15" s="294"/>
      <c r="AA15" s="54" t="s">
        <v>12</v>
      </c>
      <c r="AB15" s="294">
        <f>R34*(保険税試算!D15)/12</f>
        <v>0</v>
      </c>
      <c r="AC15" s="294"/>
      <c r="AD15" s="54" t="s">
        <v>12</v>
      </c>
      <c r="AE15" s="54">
        <f>IF(L32="○",S15,0)</f>
        <v>0</v>
      </c>
      <c r="AF15" s="54">
        <f>IF(L36="○",V15,0)</f>
        <v>0</v>
      </c>
      <c r="AG15" s="54">
        <f>IF(L40="○",Y15,0)</f>
        <v>0</v>
      </c>
      <c r="AH15" s="54">
        <f>IF(AND(L32="×",L36="×",L40="×"),AB15,0)</f>
        <v>0</v>
      </c>
      <c r="AI15" s="77">
        <f>IF(COUNTIF(保険税試算!$K$15,"○"),SUM(AE15:AH15)/2*-1,0)</f>
        <v>0</v>
      </c>
      <c r="AJ15" s="53">
        <f t="shared" si="1"/>
        <v>0</v>
      </c>
      <c r="AK15" s="182"/>
      <c r="AL15" s="182"/>
      <c r="AM15" s="182"/>
      <c r="AN15" s="182"/>
      <c r="AO15" s="22"/>
      <c r="AP15" s="22"/>
      <c r="AQ15" s="22"/>
      <c r="AR15" s="22"/>
      <c r="AS15" s="22"/>
      <c r="AT15" s="367">
        <f>IF(OR(保険税試算!C15="○",保険税試算!E15="○"),F14+F15+F16+K14+K15+K16+M5/保険税試算!C27,0)</f>
        <v>0</v>
      </c>
    </row>
    <row r="16" spans="1:46" ht="18.75" x14ac:dyDescent="0.15">
      <c r="A16" s="297"/>
      <c r="B16" s="298"/>
      <c r="C16" s="184"/>
      <c r="D16" s="184"/>
      <c r="E16" s="27" t="s">
        <v>13</v>
      </c>
      <c r="F16" s="341">
        <f>IF(保険税試算!E15="○",C14*T30*保険税試算!F15/12,0)</f>
        <v>0</v>
      </c>
      <c r="G16" s="341"/>
      <c r="H16" s="341"/>
      <c r="I16" s="341"/>
      <c r="J16" s="27" t="s">
        <v>13</v>
      </c>
      <c r="K16" s="341">
        <f t="shared" si="0"/>
        <v>0</v>
      </c>
      <c r="L16" s="341"/>
      <c r="M16" s="315"/>
      <c r="N16" s="315"/>
      <c r="O16" s="291"/>
      <c r="P16" s="292"/>
      <c r="Q16" s="292"/>
      <c r="R16" s="55" t="s">
        <v>13</v>
      </c>
      <c r="S16" s="295">
        <f>T34*0.3*(保険税試算!F15)/12</f>
        <v>0</v>
      </c>
      <c r="T16" s="295"/>
      <c r="U16" s="55" t="s">
        <v>13</v>
      </c>
      <c r="V16" s="295">
        <f>T34*0.5*(保険税試算!F15)/12</f>
        <v>0</v>
      </c>
      <c r="W16" s="295"/>
      <c r="X16" s="55" t="s">
        <v>13</v>
      </c>
      <c r="Y16" s="295">
        <f>T34*0.8*(保険税試算!F15)/12</f>
        <v>0</v>
      </c>
      <c r="Z16" s="295"/>
      <c r="AA16" s="55" t="s">
        <v>13</v>
      </c>
      <c r="AB16" s="295">
        <f>T34*(保険税試算!F15)/12</f>
        <v>0</v>
      </c>
      <c r="AC16" s="295"/>
      <c r="AD16" s="55" t="s">
        <v>13</v>
      </c>
      <c r="AE16" s="55">
        <f>IF(L32="○",S16,0)</f>
        <v>0</v>
      </c>
      <c r="AF16" s="55">
        <f>IF(L36="○",V16,0)</f>
        <v>0</v>
      </c>
      <c r="AG16" s="55">
        <f>IF(L40="○",Y16,0)</f>
        <v>0</v>
      </c>
      <c r="AH16" s="55">
        <f>IF(AND(L32="×",L36="×",L40="×"),AB16,0)</f>
        <v>0</v>
      </c>
      <c r="AI16" s="77">
        <f>IF(COUNTIF(保険税試算!$K$15,"○"),SUM(AE16:AH16)/2*-1,0)</f>
        <v>0</v>
      </c>
      <c r="AJ16" s="53">
        <f t="shared" si="1"/>
        <v>0</v>
      </c>
      <c r="AK16" s="182"/>
      <c r="AL16" s="182"/>
      <c r="AM16" s="182"/>
      <c r="AN16" s="182"/>
      <c r="AO16" s="22"/>
      <c r="AP16" s="22"/>
      <c r="AQ16" s="22"/>
      <c r="AR16" s="22"/>
      <c r="AS16" s="22"/>
      <c r="AT16" s="367"/>
    </row>
    <row r="17" spans="1:46" ht="18.75" x14ac:dyDescent="0.15">
      <c r="A17" s="297">
        <f>MAX(P17,0)</f>
        <v>0</v>
      </c>
      <c r="B17" s="298"/>
      <c r="C17" s="184">
        <f>MAX(O17,0)</f>
        <v>0</v>
      </c>
      <c r="D17" s="184"/>
      <c r="E17" s="30" t="s">
        <v>11</v>
      </c>
      <c r="F17" s="296">
        <f>IF(保険税試算!B18="○",0,C17*P30*保険税試算!D18/12)</f>
        <v>0</v>
      </c>
      <c r="G17" s="296"/>
      <c r="H17" s="296"/>
      <c r="I17" s="296"/>
      <c r="J17" s="30" t="s">
        <v>11</v>
      </c>
      <c r="K17" s="296">
        <f t="shared" si="0"/>
        <v>0</v>
      </c>
      <c r="L17" s="296"/>
      <c r="M17" s="315"/>
      <c r="N17" s="315"/>
      <c r="O17" s="291">
        <f>保険税試算!G18-430000</f>
        <v>-430000</v>
      </c>
      <c r="P17" s="292">
        <f>IF(保険税試算!I18="○",保険税試算!G18-150000,保険税試算!G18)</f>
        <v>0</v>
      </c>
      <c r="Q17" s="292"/>
      <c r="R17" s="52" t="s">
        <v>11</v>
      </c>
      <c r="S17" s="293">
        <f>P34*0.3*(保険税試算!D18)/12</f>
        <v>0</v>
      </c>
      <c r="T17" s="293"/>
      <c r="U17" s="52" t="s">
        <v>11</v>
      </c>
      <c r="V17" s="293">
        <f>P34*0.5*(保険税試算!D18)/12</f>
        <v>0</v>
      </c>
      <c r="W17" s="293"/>
      <c r="X17" s="52" t="s">
        <v>11</v>
      </c>
      <c r="Y17" s="293">
        <f>P34*0.8*(保険税試算!D18)/12</f>
        <v>0</v>
      </c>
      <c r="Z17" s="293"/>
      <c r="AA17" s="52" t="s">
        <v>11</v>
      </c>
      <c r="AB17" s="293">
        <f>P34*(保険税試算!D18)/12</f>
        <v>0</v>
      </c>
      <c r="AC17" s="293"/>
      <c r="AD17" s="52" t="s">
        <v>11</v>
      </c>
      <c r="AE17" s="52">
        <f>IF(L32="○",S17,0)</f>
        <v>0</v>
      </c>
      <c r="AF17" s="52">
        <f>IF(L36="○",V17,0)</f>
        <v>0</v>
      </c>
      <c r="AG17" s="52">
        <f>IF(L40="○",Y17,0)</f>
        <v>0</v>
      </c>
      <c r="AH17" s="52">
        <f>IF(AND(L32="×",L36="×",L40="×"),AB17,0)</f>
        <v>0</v>
      </c>
      <c r="AI17" s="79">
        <f>IF(COUNTIF(保険税試算!$K$18,"○"),SUM(AE17:AH17)/2*-1,0)</f>
        <v>0</v>
      </c>
      <c r="AJ17" s="53">
        <f t="shared" si="1"/>
        <v>0</v>
      </c>
      <c r="AK17" s="22"/>
      <c r="AL17" s="22"/>
      <c r="AM17" s="22"/>
      <c r="AN17" s="22"/>
      <c r="AO17" s="22"/>
      <c r="AP17" s="22"/>
      <c r="AQ17" s="22"/>
      <c r="AR17" s="22"/>
      <c r="AS17" s="22"/>
      <c r="AT17" s="367"/>
    </row>
    <row r="18" spans="1:46" ht="18.75" x14ac:dyDescent="0.15">
      <c r="A18" s="297"/>
      <c r="B18" s="298"/>
      <c r="C18" s="184"/>
      <c r="D18" s="184"/>
      <c r="E18" s="31" t="s">
        <v>12</v>
      </c>
      <c r="F18" s="308">
        <f>IF(保険税試算!B18="○",0,C17*R30*保険税試算!D18/12)</f>
        <v>0</v>
      </c>
      <c r="G18" s="308"/>
      <c r="H18" s="308"/>
      <c r="I18" s="308"/>
      <c r="J18" s="31" t="s">
        <v>12</v>
      </c>
      <c r="K18" s="308">
        <f t="shared" si="0"/>
        <v>0</v>
      </c>
      <c r="L18" s="308"/>
      <c r="M18" s="315"/>
      <c r="N18" s="315"/>
      <c r="O18" s="291"/>
      <c r="P18" s="292"/>
      <c r="Q18" s="292"/>
      <c r="R18" s="54" t="s">
        <v>12</v>
      </c>
      <c r="S18" s="294">
        <f>R34*0.3*(保険税試算!D18)/12</f>
        <v>0</v>
      </c>
      <c r="T18" s="294"/>
      <c r="U18" s="54" t="s">
        <v>12</v>
      </c>
      <c r="V18" s="294">
        <f>R34*0.5*(保険税試算!D18)/12</f>
        <v>0</v>
      </c>
      <c r="W18" s="294"/>
      <c r="X18" s="54" t="s">
        <v>12</v>
      </c>
      <c r="Y18" s="294">
        <f>R34*0.8*(保険税試算!D18)/12</f>
        <v>0</v>
      </c>
      <c r="Z18" s="294"/>
      <c r="AA18" s="54" t="s">
        <v>12</v>
      </c>
      <c r="AB18" s="294">
        <f>R34*(保険税試算!D18)/12</f>
        <v>0</v>
      </c>
      <c r="AC18" s="294"/>
      <c r="AD18" s="54" t="s">
        <v>12</v>
      </c>
      <c r="AE18" s="54">
        <f>IF(L32="○",S18,0)</f>
        <v>0</v>
      </c>
      <c r="AF18" s="54">
        <f>IF(L36="○",V18,0)</f>
        <v>0</v>
      </c>
      <c r="AG18" s="54">
        <f>IF(L40="○",Y18,0)</f>
        <v>0</v>
      </c>
      <c r="AH18" s="54">
        <f>IF(AND(L32="×",L36="×",L40="×"),AB18,0)</f>
        <v>0</v>
      </c>
      <c r="AI18" s="79">
        <f>IF(COUNTIF(保険税試算!$K$18,"○"),SUM(AE18:AH18)/2*-1,0)</f>
        <v>0</v>
      </c>
      <c r="AJ18" s="53">
        <f t="shared" si="1"/>
        <v>0</v>
      </c>
      <c r="AK18" s="22"/>
      <c r="AL18" s="22"/>
      <c r="AM18" s="22"/>
      <c r="AN18" s="22"/>
      <c r="AO18" s="22"/>
      <c r="AP18" s="22"/>
      <c r="AQ18" s="22"/>
      <c r="AR18" s="22"/>
      <c r="AS18" s="22"/>
      <c r="AT18" s="289">
        <f>IF(OR(保険税試算!C18="○",保険税試算!E18="○"),F17+F18+F19+K17+K18+K19+M5/保険税試算!C27,0)</f>
        <v>0</v>
      </c>
    </row>
    <row r="19" spans="1:46" ht="18.75" x14ac:dyDescent="0.15">
      <c r="A19" s="297"/>
      <c r="B19" s="298"/>
      <c r="C19" s="184"/>
      <c r="D19" s="184"/>
      <c r="E19" s="27" t="s">
        <v>13</v>
      </c>
      <c r="F19" s="341">
        <f>IF(保険税試算!E18="○",C17*T30*保険税試算!F18/12,0)</f>
        <v>0</v>
      </c>
      <c r="G19" s="341"/>
      <c r="H19" s="341"/>
      <c r="I19" s="341"/>
      <c r="J19" s="27" t="s">
        <v>13</v>
      </c>
      <c r="K19" s="341">
        <f t="shared" si="0"/>
        <v>0</v>
      </c>
      <c r="L19" s="341"/>
      <c r="M19" s="315"/>
      <c r="N19" s="315"/>
      <c r="O19" s="291"/>
      <c r="P19" s="292"/>
      <c r="Q19" s="292"/>
      <c r="R19" s="55" t="s">
        <v>13</v>
      </c>
      <c r="S19" s="295">
        <f>T34*0.3*(保険税試算!F18)/12</f>
        <v>0</v>
      </c>
      <c r="T19" s="295"/>
      <c r="U19" s="55" t="s">
        <v>13</v>
      </c>
      <c r="V19" s="295">
        <f>T34*0.5*(保険税試算!F18)/12</f>
        <v>0</v>
      </c>
      <c r="W19" s="295"/>
      <c r="X19" s="55" t="s">
        <v>13</v>
      </c>
      <c r="Y19" s="295">
        <f>T34*0.8*(保険税試算!F18)/12</f>
        <v>0</v>
      </c>
      <c r="Z19" s="295"/>
      <c r="AA19" s="55" t="s">
        <v>13</v>
      </c>
      <c r="AB19" s="295">
        <f>T34*(保険税試算!F18)/12</f>
        <v>0</v>
      </c>
      <c r="AC19" s="295"/>
      <c r="AD19" s="55" t="s">
        <v>13</v>
      </c>
      <c r="AE19" s="55">
        <f>IF(L32="○",S19,0)</f>
        <v>0</v>
      </c>
      <c r="AF19" s="55">
        <f>IF(L36="○",V19,0)</f>
        <v>0</v>
      </c>
      <c r="AG19" s="55">
        <f>IF(L40="○",Y19,0)</f>
        <v>0</v>
      </c>
      <c r="AH19" s="55">
        <f>IF(AND(L32="×",L36="×",L40="×"),AB19,0)</f>
        <v>0</v>
      </c>
      <c r="AI19" s="79">
        <f>IF(COUNTIF(保険税試算!$K$18,"○"),SUM(AE19:AH19)/2*-1,0)</f>
        <v>0</v>
      </c>
      <c r="AJ19" s="53">
        <f t="shared" si="1"/>
        <v>0</v>
      </c>
      <c r="AK19" s="22"/>
      <c r="AL19" s="22"/>
      <c r="AM19" s="22"/>
      <c r="AN19" s="22"/>
      <c r="AO19" s="22"/>
      <c r="AP19" s="22"/>
      <c r="AQ19" s="22"/>
      <c r="AR19" s="22"/>
      <c r="AS19" s="22"/>
      <c r="AT19" s="290"/>
    </row>
    <row r="20" spans="1:46" ht="18.75" x14ac:dyDescent="0.15">
      <c r="A20" s="297">
        <f t="shared" ref="A20" si="2">MAX(P20,0)</f>
        <v>0</v>
      </c>
      <c r="B20" s="298"/>
      <c r="C20" s="184">
        <f t="shared" ref="C20" si="3">MAX(O20,0)</f>
        <v>0</v>
      </c>
      <c r="D20" s="184"/>
      <c r="E20" s="43" t="s">
        <v>11</v>
      </c>
      <c r="F20" s="296">
        <f>IF(保険税試算!B21="○",0,C20*P30*保険税試算!D21/12)</f>
        <v>0</v>
      </c>
      <c r="G20" s="296"/>
      <c r="H20" s="296"/>
      <c r="I20" s="296"/>
      <c r="J20" s="43" t="s">
        <v>11</v>
      </c>
      <c r="K20" s="296">
        <f t="shared" ref="K20:K25" si="4">AJ20</f>
        <v>0</v>
      </c>
      <c r="L20" s="296"/>
      <c r="M20" s="315"/>
      <c r="N20" s="315"/>
      <c r="O20" s="291">
        <f>保険税試算!G21-430000</f>
        <v>-430000</v>
      </c>
      <c r="P20" s="292">
        <f>IF(保険税試算!I21="○",保険税試算!G21-150000,保険税試算!G21)</f>
        <v>0</v>
      </c>
      <c r="Q20" s="292"/>
      <c r="R20" s="52" t="s">
        <v>11</v>
      </c>
      <c r="S20" s="293">
        <f>P34*0.3*(保険税試算!D21)/12</f>
        <v>0</v>
      </c>
      <c r="T20" s="293"/>
      <c r="U20" s="52" t="s">
        <v>11</v>
      </c>
      <c r="V20" s="293">
        <f>P34*0.5*(保険税試算!D21)/12</f>
        <v>0</v>
      </c>
      <c r="W20" s="293"/>
      <c r="X20" s="52" t="s">
        <v>11</v>
      </c>
      <c r="Y20" s="293">
        <f>P34*0.8*(保険税試算!D21)/12</f>
        <v>0</v>
      </c>
      <c r="Z20" s="293"/>
      <c r="AA20" s="52" t="s">
        <v>11</v>
      </c>
      <c r="AB20" s="293">
        <f>P34*(保険税試算!D21)/12</f>
        <v>0</v>
      </c>
      <c r="AC20" s="293"/>
      <c r="AD20" s="52" t="s">
        <v>11</v>
      </c>
      <c r="AE20" s="52">
        <f>IF(L32="○",S20,0)</f>
        <v>0</v>
      </c>
      <c r="AF20" s="52">
        <f>IF(L36="○",V20,0)</f>
        <v>0</v>
      </c>
      <c r="AG20" s="52">
        <f>IF(L40="○",Y20,0)</f>
        <v>0</v>
      </c>
      <c r="AH20" s="52">
        <f>IF(AND(L32="×",L36="×",L40="×"),AB20,0)</f>
        <v>0</v>
      </c>
      <c r="AI20" s="77">
        <f>IF(COUNTIF(保険税試算!$K$21,"○"),SUM(AE20:AH20)/2*-1,0)</f>
        <v>0</v>
      </c>
      <c r="AJ20" s="53">
        <f t="shared" si="1"/>
        <v>0</v>
      </c>
      <c r="AK20" s="22"/>
      <c r="AL20" s="22"/>
      <c r="AM20" s="22"/>
      <c r="AN20" s="22"/>
      <c r="AO20" s="22"/>
      <c r="AP20" s="22"/>
      <c r="AQ20" s="22"/>
      <c r="AR20" s="22"/>
      <c r="AS20" s="22"/>
      <c r="AT20" s="290"/>
    </row>
    <row r="21" spans="1:46" ht="18.75" x14ac:dyDescent="0.15">
      <c r="A21" s="297"/>
      <c r="B21" s="298"/>
      <c r="C21" s="184"/>
      <c r="D21" s="184"/>
      <c r="E21" s="44" t="s">
        <v>12</v>
      </c>
      <c r="F21" s="308">
        <f>IF(保険税試算!B21="○",0,C20*R30*保険税試算!D21/12)</f>
        <v>0</v>
      </c>
      <c r="G21" s="308"/>
      <c r="H21" s="308"/>
      <c r="I21" s="308"/>
      <c r="J21" s="44" t="s">
        <v>12</v>
      </c>
      <c r="K21" s="308">
        <f t="shared" si="4"/>
        <v>0</v>
      </c>
      <c r="L21" s="308"/>
      <c r="M21" s="315"/>
      <c r="N21" s="315"/>
      <c r="O21" s="291"/>
      <c r="P21" s="292"/>
      <c r="Q21" s="292"/>
      <c r="R21" s="54" t="s">
        <v>12</v>
      </c>
      <c r="S21" s="294">
        <f>R34*0.3*(保険税試算!D21)/12</f>
        <v>0</v>
      </c>
      <c r="T21" s="294"/>
      <c r="U21" s="54" t="s">
        <v>12</v>
      </c>
      <c r="V21" s="294">
        <f>R34*0.5*(保険税試算!D21)/12</f>
        <v>0</v>
      </c>
      <c r="W21" s="294"/>
      <c r="X21" s="54" t="s">
        <v>12</v>
      </c>
      <c r="Y21" s="294">
        <f>R34*0.8*(保険税試算!D21)/12</f>
        <v>0</v>
      </c>
      <c r="Z21" s="294"/>
      <c r="AA21" s="54" t="s">
        <v>12</v>
      </c>
      <c r="AB21" s="294">
        <f>R34*(保険税試算!D21)/12</f>
        <v>0</v>
      </c>
      <c r="AC21" s="294"/>
      <c r="AD21" s="54" t="s">
        <v>12</v>
      </c>
      <c r="AE21" s="54">
        <f>IF(L32="○",S21,0)</f>
        <v>0</v>
      </c>
      <c r="AF21" s="54">
        <f>IF(L36="○",V21,0)</f>
        <v>0</v>
      </c>
      <c r="AG21" s="54">
        <f>IF(L40="○",Y21,0)</f>
        <v>0</v>
      </c>
      <c r="AH21" s="54">
        <f>IF(AND(L32="×",L36="×",L40="×"),AB21,0)</f>
        <v>0</v>
      </c>
      <c r="AI21" s="77">
        <f>IF(COUNTIF(保険税試算!$K$21,"○"),SUM(AE21:AH21)/2*-1,0)</f>
        <v>0</v>
      </c>
      <c r="AJ21" s="53">
        <f t="shared" si="1"/>
        <v>0</v>
      </c>
      <c r="AK21" s="22"/>
      <c r="AL21" s="22"/>
      <c r="AM21" s="22"/>
      <c r="AN21" s="22"/>
      <c r="AO21" s="22"/>
      <c r="AP21" s="22"/>
      <c r="AQ21" s="22"/>
      <c r="AR21" s="22"/>
      <c r="AS21" s="22"/>
      <c r="AT21" s="289">
        <f>IF(OR(保険税試算!C21="○",保険税試算!E21="○"),F20+F21+F22+K20+K21+K22+M5/保険税試算!C27,0)</f>
        <v>0</v>
      </c>
    </row>
    <row r="22" spans="1:46" ht="18.75" x14ac:dyDescent="0.15">
      <c r="A22" s="297"/>
      <c r="B22" s="298"/>
      <c r="C22" s="184"/>
      <c r="D22" s="184"/>
      <c r="E22" s="42" t="s">
        <v>13</v>
      </c>
      <c r="F22" s="341">
        <f>IF(保険税試算!E21="○",C20*T30*保険税試算!F21/12,0)</f>
        <v>0</v>
      </c>
      <c r="G22" s="341"/>
      <c r="H22" s="341"/>
      <c r="I22" s="341"/>
      <c r="J22" s="42" t="s">
        <v>13</v>
      </c>
      <c r="K22" s="341">
        <f t="shared" si="4"/>
        <v>0</v>
      </c>
      <c r="L22" s="341"/>
      <c r="M22" s="315"/>
      <c r="N22" s="315"/>
      <c r="O22" s="291"/>
      <c r="P22" s="292"/>
      <c r="Q22" s="292"/>
      <c r="R22" s="55" t="s">
        <v>13</v>
      </c>
      <c r="S22" s="295">
        <f>T34*0.3*(保険税試算!F21)/12</f>
        <v>0</v>
      </c>
      <c r="T22" s="295"/>
      <c r="U22" s="55" t="s">
        <v>13</v>
      </c>
      <c r="V22" s="295">
        <f>T34*0.5*(保険税試算!F21)/12</f>
        <v>0</v>
      </c>
      <c r="W22" s="295"/>
      <c r="X22" s="55" t="s">
        <v>13</v>
      </c>
      <c r="Y22" s="295">
        <f>T34*0.8*(保険税試算!F21)/12</f>
        <v>0</v>
      </c>
      <c r="Z22" s="295"/>
      <c r="AA22" s="55" t="s">
        <v>13</v>
      </c>
      <c r="AB22" s="295">
        <f>T34*(保険税試算!F21)/12</f>
        <v>0</v>
      </c>
      <c r="AC22" s="295"/>
      <c r="AD22" s="55" t="s">
        <v>13</v>
      </c>
      <c r="AE22" s="55">
        <f>IF(L32="○",S22,0)</f>
        <v>0</v>
      </c>
      <c r="AF22" s="55">
        <f>IF(L36="○",V22,0)</f>
        <v>0</v>
      </c>
      <c r="AG22" s="55">
        <f>IF(L40="○",Y22,0)</f>
        <v>0</v>
      </c>
      <c r="AH22" s="55">
        <f>IF(AND(L32="×",L36="×",L40="×"),AB22,0)</f>
        <v>0</v>
      </c>
      <c r="AI22" s="77">
        <f>IF(COUNTIF(保険税試算!$K$21,"○"),SUM(AE22:AH22)/2*-1,0)</f>
        <v>0</v>
      </c>
      <c r="AJ22" s="53">
        <f t="shared" si="1"/>
        <v>0</v>
      </c>
      <c r="AK22" s="22"/>
      <c r="AL22" s="22"/>
      <c r="AM22" s="22"/>
      <c r="AN22" s="22"/>
      <c r="AO22" s="22"/>
      <c r="AP22" s="22"/>
      <c r="AQ22" s="22"/>
      <c r="AR22" s="22"/>
      <c r="AS22" s="22"/>
      <c r="AT22" s="290"/>
    </row>
    <row r="23" spans="1:46" ht="18.75" x14ac:dyDescent="0.15">
      <c r="A23" s="297">
        <f t="shared" ref="A23" si="5">MAX(P23,0)</f>
        <v>0</v>
      </c>
      <c r="B23" s="298"/>
      <c r="C23" s="184">
        <f t="shared" ref="C23" si="6">MAX(O23,0)</f>
        <v>0</v>
      </c>
      <c r="D23" s="184"/>
      <c r="E23" s="43" t="s">
        <v>11</v>
      </c>
      <c r="F23" s="296">
        <f>IF(保険税試算!B27="○",0,C23*P30*保険税試算!D27/12)</f>
        <v>0</v>
      </c>
      <c r="G23" s="296"/>
      <c r="H23" s="296"/>
      <c r="I23" s="296"/>
      <c r="J23" s="43" t="s">
        <v>11</v>
      </c>
      <c r="K23" s="296">
        <f>AJ23</f>
        <v>0</v>
      </c>
      <c r="L23" s="296"/>
      <c r="M23" s="315"/>
      <c r="N23" s="315"/>
      <c r="O23" s="291">
        <f>保険税試算!G24-430000</f>
        <v>-430000</v>
      </c>
      <c r="P23" s="292">
        <f>IF(保険税試算!I24="○",保険税試算!G24-150000,保険税試算!G24)</f>
        <v>0</v>
      </c>
      <c r="Q23" s="292"/>
      <c r="R23" s="52" t="s">
        <v>11</v>
      </c>
      <c r="S23" s="293">
        <f>P34*0.3*(保険税試算!D24)/12</f>
        <v>0</v>
      </c>
      <c r="T23" s="293"/>
      <c r="U23" s="52" t="s">
        <v>11</v>
      </c>
      <c r="V23" s="293">
        <f>P34*0.5*(保険税試算!D24)/12</f>
        <v>0</v>
      </c>
      <c r="W23" s="293"/>
      <c r="X23" s="52" t="s">
        <v>11</v>
      </c>
      <c r="Y23" s="293">
        <f>P34*0.8*(保険税試算!D24)/12</f>
        <v>0</v>
      </c>
      <c r="Z23" s="293"/>
      <c r="AA23" s="52" t="s">
        <v>11</v>
      </c>
      <c r="AB23" s="293">
        <f>P34*(保険税試算!D24)/12</f>
        <v>0</v>
      </c>
      <c r="AC23" s="293"/>
      <c r="AD23" s="52" t="s">
        <v>11</v>
      </c>
      <c r="AE23" s="52">
        <f>IF(L32="○",S23,0)</f>
        <v>0</v>
      </c>
      <c r="AF23" s="52">
        <f>IF(L36="○",V23,0)</f>
        <v>0</v>
      </c>
      <c r="AG23" s="52">
        <f>IF(L40="○",Y23,0)</f>
        <v>0</v>
      </c>
      <c r="AH23" s="52">
        <f>IF(AND(L32="×",L36="×",L40="×"),AB23,0)</f>
        <v>0</v>
      </c>
      <c r="AI23" s="79">
        <f>IF(COUNTIF(保険税試算!$K$24,"○"),SUM(AE23:AH23)/2*-1,0)</f>
        <v>0</v>
      </c>
      <c r="AJ23" s="53">
        <f t="shared" si="1"/>
        <v>0</v>
      </c>
      <c r="AK23" s="22"/>
      <c r="AL23" s="22"/>
      <c r="AM23" s="22"/>
      <c r="AN23" s="22"/>
      <c r="AO23" s="22"/>
      <c r="AP23" s="22"/>
      <c r="AQ23" s="22"/>
      <c r="AR23" s="22"/>
      <c r="AS23" s="22"/>
      <c r="AT23" s="290"/>
    </row>
    <row r="24" spans="1:46" ht="18.75" x14ac:dyDescent="0.15">
      <c r="A24" s="297"/>
      <c r="B24" s="298"/>
      <c r="C24" s="184"/>
      <c r="D24" s="184"/>
      <c r="E24" s="44" t="s">
        <v>12</v>
      </c>
      <c r="F24" s="308">
        <f>IF(保険税試算!B24="○",0,C23*R30*保険税試算!D24/12)</f>
        <v>0</v>
      </c>
      <c r="G24" s="308"/>
      <c r="H24" s="308"/>
      <c r="I24" s="308"/>
      <c r="J24" s="44" t="s">
        <v>12</v>
      </c>
      <c r="K24" s="308">
        <f t="shared" si="4"/>
        <v>0</v>
      </c>
      <c r="L24" s="308"/>
      <c r="M24" s="315"/>
      <c r="N24" s="315"/>
      <c r="O24" s="291"/>
      <c r="P24" s="292"/>
      <c r="Q24" s="292"/>
      <c r="R24" s="54" t="s">
        <v>12</v>
      </c>
      <c r="S24" s="294">
        <f>R34*0.3*(保険税試算!D24)/12</f>
        <v>0</v>
      </c>
      <c r="T24" s="294"/>
      <c r="U24" s="54" t="s">
        <v>12</v>
      </c>
      <c r="V24" s="294">
        <f>R34*0.5*(保険税試算!D24)/12</f>
        <v>0</v>
      </c>
      <c r="W24" s="294"/>
      <c r="X24" s="54" t="s">
        <v>12</v>
      </c>
      <c r="Y24" s="294">
        <f>R34*0.8*(保険税試算!D24)/12</f>
        <v>0</v>
      </c>
      <c r="Z24" s="294"/>
      <c r="AA24" s="54" t="s">
        <v>12</v>
      </c>
      <c r="AB24" s="294">
        <f>R34*(保険税試算!D24)/12</f>
        <v>0</v>
      </c>
      <c r="AC24" s="294"/>
      <c r="AD24" s="54" t="s">
        <v>12</v>
      </c>
      <c r="AE24" s="54">
        <f>IF(L32="○",S24,0)</f>
        <v>0</v>
      </c>
      <c r="AF24" s="54">
        <f>IF(L36="○",V24,0)</f>
        <v>0</v>
      </c>
      <c r="AG24" s="54">
        <f>IF(L40="○",Y24,0)</f>
        <v>0</v>
      </c>
      <c r="AH24" s="54">
        <f>IF(AND(L32="×",L36="×",L40="×"),AB24,0)</f>
        <v>0</v>
      </c>
      <c r="AI24" s="79">
        <f>IF(COUNTIF(保険税試算!$K$24,"○"),SUM(AE24:AH24)/2*-1,0)</f>
        <v>0</v>
      </c>
      <c r="AJ24" s="53">
        <f t="shared" si="1"/>
        <v>0</v>
      </c>
      <c r="AK24" s="22"/>
      <c r="AL24" s="22"/>
      <c r="AM24" s="22"/>
      <c r="AN24" s="22"/>
      <c r="AO24" s="22"/>
      <c r="AP24" s="22"/>
      <c r="AQ24" s="22"/>
      <c r="AR24" s="22"/>
      <c r="AS24" s="22"/>
      <c r="AT24" s="289">
        <f>IF(OR(保険税試算!C24="○",保険税試算!E24="○"),F23+F24+F25+K23+K24+K25+M5/保険税試算!C27,0)</f>
        <v>0</v>
      </c>
    </row>
    <row r="25" spans="1:46" ht="18.75" x14ac:dyDescent="0.15">
      <c r="A25" s="297"/>
      <c r="B25" s="298"/>
      <c r="C25" s="184"/>
      <c r="D25" s="184"/>
      <c r="E25" s="42" t="s">
        <v>13</v>
      </c>
      <c r="F25" s="341">
        <f>IF(保険税試算!E24="○",C23*T30*保険税試算!F24/12,0)</f>
        <v>0</v>
      </c>
      <c r="G25" s="341"/>
      <c r="H25" s="341"/>
      <c r="I25" s="341"/>
      <c r="J25" s="42" t="s">
        <v>13</v>
      </c>
      <c r="K25" s="341">
        <f t="shared" si="4"/>
        <v>0</v>
      </c>
      <c r="L25" s="341"/>
      <c r="M25" s="315"/>
      <c r="N25" s="315"/>
      <c r="O25" s="291"/>
      <c r="P25" s="292"/>
      <c r="Q25" s="292"/>
      <c r="R25" s="55" t="s">
        <v>13</v>
      </c>
      <c r="S25" s="295">
        <f>T34*0.3*(保険税試算!F24)/12</f>
        <v>0</v>
      </c>
      <c r="T25" s="295"/>
      <c r="U25" s="55" t="s">
        <v>13</v>
      </c>
      <c r="V25" s="295">
        <f>T34*0.5*(保険税試算!F24)/12</f>
        <v>0</v>
      </c>
      <c r="W25" s="295"/>
      <c r="X25" s="55" t="s">
        <v>13</v>
      </c>
      <c r="Y25" s="295">
        <f>T34*0.8*(保険税試算!F24)/12</f>
        <v>0</v>
      </c>
      <c r="Z25" s="295"/>
      <c r="AA25" s="55" t="s">
        <v>13</v>
      </c>
      <c r="AB25" s="295">
        <f>T34*(保険税試算!F24)/12</f>
        <v>0</v>
      </c>
      <c r="AC25" s="295"/>
      <c r="AD25" s="55" t="s">
        <v>13</v>
      </c>
      <c r="AE25" s="55">
        <f>IF(L32="○",S25,0)</f>
        <v>0</v>
      </c>
      <c r="AF25" s="55">
        <f>IF(L36="○",V25,0)</f>
        <v>0</v>
      </c>
      <c r="AG25" s="55">
        <f>IF(L40="○",Y25,0)</f>
        <v>0</v>
      </c>
      <c r="AH25" s="55">
        <f>IF(AND(L32="×",L36="×",L40="×"),AB25,0)</f>
        <v>0</v>
      </c>
      <c r="AI25" s="79">
        <f>IF(COUNTIF(保険税試算!$K$24,"○"),SUM(AE25:AH25)/2*-1,0)</f>
        <v>0</v>
      </c>
      <c r="AJ25" s="53">
        <f t="shared" si="1"/>
        <v>0</v>
      </c>
      <c r="AK25" s="22"/>
      <c r="AL25" s="22"/>
      <c r="AM25" s="22"/>
      <c r="AN25" s="22"/>
      <c r="AO25" s="22"/>
      <c r="AP25" s="22"/>
      <c r="AQ25" s="22"/>
      <c r="AR25" s="22"/>
      <c r="AS25" s="22"/>
      <c r="AT25" s="290"/>
    </row>
    <row r="26" spans="1:46" ht="18.75" x14ac:dyDescent="0.15">
      <c r="A26" s="16"/>
      <c r="B26" s="16"/>
      <c r="C26" s="1"/>
      <c r="D26" s="1"/>
      <c r="E26" s="1"/>
      <c r="F26" s="1"/>
      <c r="G26" s="1"/>
      <c r="H26" s="1"/>
      <c r="I26" s="1"/>
      <c r="J26" s="7"/>
      <c r="K26" s="7"/>
      <c r="L26" s="7"/>
      <c r="M26" s="7"/>
      <c r="N26" s="8"/>
      <c r="O26" s="28"/>
      <c r="P26" s="182">
        <f>SUM(P5:Q18)</f>
        <v>0</v>
      </c>
      <c r="Q26" s="182"/>
      <c r="R26" s="23"/>
      <c r="S26" s="23"/>
      <c r="T26" s="23"/>
      <c r="U26" s="18"/>
      <c r="V26" s="18"/>
      <c r="W26" s="18"/>
      <c r="X26" s="18"/>
      <c r="Y26" s="18"/>
      <c r="Z26" s="18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290"/>
    </row>
    <row r="27" spans="1:46" ht="18.7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8"/>
      <c r="P27" s="182"/>
      <c r="Q27" s="182"/>
      <c r="R27" s="23"/>
      <c r="S27" s="23"/>
      <c r="T27" s="23"/>
      <c r="U27" s="18"/>
      <c r="V27" s="18"/>
      <c r="W27" s="18"/>
      <c r="X27" s="18"/>
      <c r="Y27" s="18"/>
      <c r="Z27" s="18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"/>
    </row>
    <row r="28" spans="1:46" ht="19.5" thickBo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/>
      <c r="P28" s="18"/>
      <c r="Q28" s="18"/>
      <c r="R28" s="23"/>
      <c r="S28" s="23"/>
      <c r="T28" s="23"/>
      <c r="U28" s="18"/>
      <c r="V28" s="18"/>
      <c r="W28" s="18"/>
      <c r="X28" s="18"/>
      <c r="Y28" s="18"/>
      <c r="Z28" s="18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"/>
    </row>
    <row r="29" spans="1:46" ht="15.75" customHeight="1" thickTop="1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P29" s="354" t="s">
        <v>49</v>
      </c>
      <c r="Q29" s="355"/>
      <c r="R29" s="355"/>
      <c r="S29" s="355"/>
      <c r="T29" s="355"/>
      <c r="U29" s="356"/>
    </row>
    <row r="30" spans="1:46" ht="18.75" x14ac:dyDescent="0.15">
      <c r="A30" s="300" t="s">
        <v>15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5" t="s">
        <v>22</v>
      </c>
      <c r="M30" s="7"/>
      <c r="P30" s="362">
        <v>6.8000000000000005E-2</v>
      </c>
      <c r="Q30" s="223"/>
      <c r="R30" s="223">
        <v>1.7000000000000001E-2</v>
      </c>
      <c r="S30" s="223"/>
      <c r="T30" s="223">
        <v>1.4999999999999999E-2</v>
      </c>
      <c r="U30" s="357"/>
    </row>
    <row r="31" spans="1:46" ht="18.75" x14ac:dyDescent="0.15">
      <c r="A31" s="302"/>
      <c r="B31" s="303"/>
      <c r="C31" s="303"/>
      <c r="D31" s="303"/>
      <c r="E31" s="303"/>
      <c r="F31" s="304"/>
      <c r="G31" s="304"/>
      <c r="H31" s="304"/>
      <c r="I31" s="303"/>
      <c r="J31" s="303"/>
      <c r="K31" s="303"/>
      <c r="L31" s="306"/>
      <c r="M31" s="7"/>
      <c r="P31" s="362"/>
      <c r="Q31" s="223"/>
      <c r="R31" s="223"/>
      <c r="S31" s="223"/>
      <c r="T31" s="223"/>
      <c r="U31" s="357"/>
    </row>
    <row r="32" spans="1:46" ht="18.75" x14ac:dyDescent="0.15">
      <c r="A32" s="307" t="s">
        <v>16</v>
      </c>
      <c r="B32" s="323">
        <v>430000</v>
      </c>
      <c r="C32" s="323"/>
      <c r="D32" s="14"/>
      <c r="E32" s="309"/>
      <c r="F32" s="38"/>
      <c r="G32" s="309" t="s">
        <v>139</v>
      </c>
      <c r="H32" s="338">
        <f>IF((保険税試算!$J$31-1)*100000&lt;0,0,(保険税試算!$J$31-1)*100000)</f>
        <v>0</v>
      </c>
      <c r="I32" s="326" t="s">
        <v>1</v>
      </c>
      <c r="J32" s="328">
        <f>B32+H32</f>
        <v>430000</v>
      </c>
      <c r="K32" s="329"/>
      <c r="L32" s="334" t="str">
        <f>IF(K44&lt;=J32,"○","×")</f>
        <v>○</v>
      </c>
      <c r="M32" s="7"/>
      <c r="P32" s="362"/>
      <c r="Q32" s="223"/>
      <c r="R32" s="223"/>
      <c r="S32" s="223"/>
      <c r="T32" s="223"/>
      <c r="U32" s="357"/>
    </row>
    <row r="33" spans="1:29" ht="18.75" x14ac:dyDescent="0.15">
      <c r="A33" s="307"/>
      <c r="B33" s="323"/>
      <c r="C33" s="323"/>
      <c r="D33" s="315"/>
      <c r="E33" s="309"/>
      <c r="F33" s="337"/>
      <c r="G33" s="309"/>
      <c r="H33" s="339"/>
      <c r="I33" s="326"/>
      <c r="J33" s="330"/>
      <c r="K33" s="331"/>
      <c r="L33" s="334"/>
      <c r="M33" s="7"/>
      <c r="P33" s="358" t="s">
        <v>8</v>
      </c>
      <c r="Q33" s="224"/>
      <c r="R33" s="224"/>
      <c r="S33" s="224"/>
      <c r="T33" s="224"/>
      <c r="U33" s="359"/>
    </row>
    <row r="34" spans="1:29" ht="18.75" x14ac:dyDescent="0.15">
      <c r="A34" s="307"/>
      <c r="B34" s="323"/>
      <c r="C34" s="323"/>
      <c r="D34" s="315"/>
      <c r="E34" s="309"/>
      <c r="F34" s="337"/>
      <c r="G34" s="309"/>
      <c r="H34" s="339"/>
      <c r="I34" s="326"/>
      <c r="J34" s="330"/>
      <c r="K34" s="331"/>
      <c r="L34" s="334"/>
      <c r="M34" s="7"/>
      <c r="P34" s="361">
        <v>18500</v>
      </c>
      <c r="Q34" s="197"/>
      <c r="R34" s="197">
        <v>7000</v>
      </c>
      <c r="S34" s="197"/>
      <c r="T34" s="197">
        <v>12000</v>
      </c>
      <c r="U34" s="360"/>
    </row>
    <row r="35" spans="1:29" ht="18.75" x14ac:dyDescent="0.15">
      <c r="A35" s="307"/>
      <c r="B35" s="323"/>
      <c r="C35" s="323"/>
      <c r="D35" s="315"/>
      <c r="E35" s="309"/>
      <c r="F35" s="337"/>
      <c r="G35" s="309"/>
      <c r="H35" s="340"/>
      <c r="I35" s="326"/>
      <c r="J35" s="349"/>
      <c r="K35" s="350"/>
      <c r="L35" s="334"/>
      <c r="M35" s="7"/>
      <c r="P35" s="361"/>
      <c r="Q35" s="197"/>
      <c r="R35" s="197"/>
      <c r="S35" s="197"/>
      <c r="T35" s="197"/>
      <c r="U35" s="360"/>
      <c r="AB35" s="39"/>
      <c r="AC35" s="39"/>
    </row>
    <row r="36" spans="1:29" ht="18.75" customHeight="1" x14ac:dyDescent="0.15">
      <c r="A36" s="299" t="s">
        <v>17</v>
      </c>
      <c r="B36" s="323">
        <v>430000</v>
      </c>
      <c r="C36" s="323" t="s">
        <v>0</v>
      </c>
      <c r="D36" s="14" t="s">
        <v>19</v>
      </c>
      <c r="E36" s="309" t="s">
        <v>20</v>
      </c>
      <c r="F36" s="38" t="s">
        <v>23</v>
      </c>
      <c r="G36" s="309" t="s">
        <v>139</v>
      </c>
      <c r="H36" s="338">
        <f>IF((保険税試算!$J$31-1)*100000&lt;0,0,(保険税試算!$J$31-1)*100000)</f>
        <v>0</v>
      </c>
      <c r="I36" s="326" t="s">
        <v>1</v>
      </c>
      <c r="J36" s="328">
        <f>B36+D37*F37+H36</f>
        <v>430000</v>
      </c>
      <c r="K36" s="329"/>
      <c r="L36" s="351" t="str">
        <f>IF(AND(K44&gt;430000+H36,K44&lt;=J36),"○","×")</f>
        <v>×</v>
      </c>
      <c r="M36" s="7"/>
      <c r="P36" s="361"/>
      <c r="Q36" s="197"/>
      <c r="R36" s="197"/>
      <c r="S36" s="197"/>
      <c r="T36" s="197"/>
      <c r="U36" s="360"/>
      <c r="AB36" s="39"/>
      <c r="AC36" s="39"/>
    </row>
    <row r="37" spans="1:29" ht="18.75" customHeight="1" x14ac:dyDescent="0.15">
      <c r="A37" s="299"/>
      <c r="B37" s="323"/>
      <c r="C37" s="323"/>
      <c r="D37" s="315">
        <f>保険税試算!C27</f>
        <v>0</v>
      </c>
      <c r="E37" s="309"/>
      <c r="F37" s="337">
        <v>305000</v>
      </c>
      <c r="G37" s="309"/>
      <c r="H37" s="339"/>
      <c r="I37" s="326"/>
      <c r="J37" s="330"/>
      <c r="K37" s="331"/>
      <c r="L37" s="352"/>
      <c r="M37" s="7"/>
      <c r="P37" s="363" t="s">
        <v>35</v>
      </c>
      <c r="Q37" s="196"/>
      <c r="R37" s="196"/>
      <c r="S37" s="196"/>
      <c r="T37" s="196"/>
      <c r="U37" s="364"/>
      <c r="AB37" s="39"/>
      <c r="AC37" s="39"/>
    </row>
    <row r="38" spans="1:29" ht="18.75" customHeight="1" x14ac:dyDescent="0.15">
      <c r="A38" s="299"/>
      <c r="B38" s="323"/>
      <c r="C38" s="323"/>
      <c r="D38" s="315"/>
      <c r="E38" s="309"/>
      <c r="F38" s="337"/>
      <c r="G38" s="309"/>
      <c r="H38" s="339"/>
      <c r="I38" s="326"/>
      <c r="J38" s="330"/>
      <c r="K38" s="331"/>
      <c r="L38" s="352"/>
      <c r="M38" s="7"/>
      <c r="P38" s="366">
        <v>30000</v>
      </c>
      <c r="Q38" s="219"/>
      <c r="R38" s="219">
        <v>0</v>
      </c>
      <c r="S38" s="219"/>
      <c r="T38" s="219">
        <v>0</v>
      </c>
      <c r="U38" s="365"/>
      <c r="AB38" s="39"/>
      <c r="AC38" s="39"/>
    </row>
    <row r="39" spans="1:29" ht="18.75" customHeight="1" x14ac:dyDescent="0.15">
      <c r="A39" s="299"/>
      <c r="B39" s="323"/>
      <c r="C39" s="323"/>
      <c r="D39" s="315"/>
      <c r="E39" s="309"/>
      <c r="F39" s="337"/>
      <c r="G39" s="309"/>
      <c r="H39" s="340"/>
      <c r="I39" s="326"/>
      <c r="J39" s="349"/>
      <c r="K39" s="350"/>
      <c r="L39" s="353"/>
      <c r="M39" s="7"/>
      <c r="P39" s="366"/>
      <c r="Q39" s="219"/>
      <c r="R39" s="219"/>
      <c r="S39" s="219"/>
      <c r="T39" s="219"/>
      <c r="U39" s="365"/>
      <c r="AB39" s="39"/>
      <c r="AC39" s="39"/>
    </row>
    <row r="40" spans="1:29" ht="18.75" x14ac:dyDescent="0.15">
      <c r="A40" s="321" t="s">
        <v>18</v>
      </c>
      <c r="B40" s="323">
        <v>430000</v>
      </c>
      <c r="C40" s="323" t="s">
        <v>0</v>
      </c>
      <c r="D40" s="14" t="s">
        <v>19</v>
      </c>
      <c r="E40" s="309" t="s">
        <v>20</v>
      </c>
      <c r="F40" s="38" t="s">
        <v>23</v>
      </c>
      <c r="G40" s="309" t="s">
        <v>139</v>
      </c>
      <c r="H40" s="338">
        <f>IF((保険税試算!$J$31-1)*100000&lt;0,0,(保険税試算!$J$31-1)*100000)</f>
        <v>0</v>
      </c>
      <c r="I40" s="326" t="s">
        <v>1</v>
      </c>
      <c r="J40" s="328">
        <f>B40+D41*F41+H40</f>
        <v>430000</v>
      </c>
      <c r="K40" s="329"/>
      <c r="L40" s="334" t="str">
        <f>IF(AND(K44&gt;J36,K44&lt;=J40),"○","×")</f>
        <v>×</v>
      </c>
      <c r="M40" s="7"/>
      <c r="P40" s="366"/>
      <c r="Q40" s="219"/>
      <c r="R40" s="219"/>
      <c r="S40" s="219"/>
      <c r="T40" s="219"/>
      <c r="U40" s="365"/>
      <c r="AB40" s="39"/>
      <c r="AC40" s="39"/>
    </row>
    <row r="41" spans="1:29" ht="18.75" x14ac:dyDescent="0.15">
      <c r="A41" s="321"/>
      <c r="B41" s="323"/>
      <c r="C41" s="323"/>
      <c r="D41" s="315">
        <f>保険税試算!C27</f>
        <v>0</v>
      </c>
      <c r="E41" s="309"/>
      <c r="F41" s="337">
        <v>560000</v>
      </c>
      <c r="G41" s="309"/>
      <c r="H41" s="339"/>
      <c r="I41" s="326"/>
      <c r="J41" s="330"/>
      <c r="K41" s="331"/>
      <c r="L41" s="334"/>
      <c r="M41" s="7"/>
      <c r="P41" s="310" t="s">
        <v>52</v>
      </c>
      <c r="Q41" s="311"/>
      <c r="R41" s="311"/>
      <c r="S41" s="311"/>
      <c r="T41" s="311"/>
      <c r="U41" s="312"/>
      <c r="AB41" s="39"/>
      <c r="AC41" s="39"/>
    </row>
    <row r="42" spans="1:29" ht="21" customHeight="1" x14ac:dyDescent="0.15">
      <c r="A42" s="321"/>
      <c r="B42" s="323"/>
      <c r="C42" s="323"/>
      <c r="D42" s="315"/>
      <c r="E42" s="309"/>
      <c r="F42" s="337"/>
      <c r="G42" s="309"/>
      <c r="H42" s="339"/>
      <c r="I42" s="326"/>
      <c r="J42" s="330"/>
      <c r="K42" s="331"/>
      <c r="L42" s="334"/>
      <c r="M42" s="17"/>
      <c r="P42" s="317" t="s">
        <v>53</v>
      </c>
      <c r="Q42" s="318"/>
      <c r="R42" s="311" t="s">
        <v>54</v>
      </c>
      <c r="S42" s="311"/>
      <c r="T42" s="319" t="s">
        <v>55</v>
      </c>
      <c r="U42" s="320"/>
      <c r="AB42" s="39"/>
      <c r="AC42" s="39"/>
    </row>
    <row r="43" spans="1:29" ht="21.75" customHeight="1" thickBot="1" x14ac:dyDescent="0.2">
      <c r="A43" s="322"/>
      <c r="B43" s="324"/>
      <c r="C43" s="324"/>
      <c r="D43" s="336"/>
      <c r="E43" s="325"/>
      <c r="F43" s="337"/>
      <c r="G43" s="325"/>
      <c r="H43" s="340"/>
      <c r="I43" s="327"/>
      <c r="J43" s="332"/>
      <c r="K43" s="333"/>
      <c r="L43" s="335"/>
      <c r="M43" s="17"/>
      <c r="P43" s="313">
        <v>100000</v>
      </c>
      <c r="Q43" s="314"/>
      <c r="R43" s="314">
        <v>305000</v>
      </c>
      <c r="S43" s="314"/>
      <c r="T43" s="314">
        <v>560000</v>
      </c>
      <c r="U43" s="316"/>
      <c r="AB43" s="39"/>
      <c r="AC43" s="39"/>
    </row>
    <row r="44" spans="1:29" ht="21" customHeight="1" x14ac:dyDescent="0.15">
      <c r="A44" s="1"/>
      <c r="B44" s="342"/>
      <c r="C44" s="342"/>
      <c r="D44" s="342"/>
      <c r="E44" s="342"/>
      <c r="F44" s="343"/>
      <c r="G44" s="72"/>
      <c r="H44" s="72"/>
      <c r="I44" s="345" t="s">
        <v>24</v>
      </c>
      <c r="J44" s="345"/>
      <c r="K44" s="347">
        <f>SUM(A5:B25)</f>
        <v>0</v>
      </c>
      <c r="L44" s="347"/>
      <c r="M44" s="7"/>
      <c r="N44" s="17"/>
      <c r="P44" s="313"/>
      <c r="Q44" s="314"/>
      <c r="R44" s="314"/>
      <c r="S44" s="314"/>
      <c r="T44" s="314"/>
      <c r="U44" s="316"/>
      <c r="AB44" s="39"/>
      <c r="AC44" s="39"/>
    </row>
    <row r="45" spans="1:29" ht="21" x14ac:dyDescent="0.15">
      <c r="A45" s="1"/>
      <c r="B45" s="344"/>
      <c r="C45" s="344"/>
      <c r="D45" s="344"/>
      <c r="E45" s="344"/>
      <c r="F45" s="343"/>
      <c r="G45" s="72"/>
      <c r="H45" s="72"/>
      <c r="I45" s="346"/>
      <c r="J45" s="346"/>
      <c r="K45" s="348"/>
      <c r="L45" s="348"/>
      <c r="M45" s="17"/>
      <c r="N45" s="7"/>
      <c r="P45" s="313"/>
      <c r="Q45" s="314"/>
      <c r="R45" s="314"/>
      <c r="S45" s="314"/>
      <c r="T45" s="314"/>
      <c r="U45" s="316"/>
      <c r="AB45" s="39"/>
      <c r="AC45" s="39"/>
    </row>
    <row r="46" spans="1:29" ht="21" x14ac:dyDescent="0.15">
      <c r="A46" s="1"/>
      <c r="B46" s="1"/>
      <c r="C46" s="1"/>
      <c r="D46" s="1"/>
      <c r="E46" s="1"/>
      <c r="F46" s="1"/>
      <c r="G46" s="1"/>
      <c r="H46" s="1"/>
      <c r="I46" s="7"/>
      <c r="J46" s="7"/>
      <c r="K46" s="7"/>
      <c r="L46" s="7"/>
      <c r="M46" s="17"/>
      <c r="N46" s="7"/>
      <c r="P46" s="398" t="s">
        <v>48</v>
      </c>
      <c r="Q46" s="127"/>
      <c r="R46" s="127"/>
      <c r="S46" s="127"/>
      <c r="T46" s="127"/>
      <c r="U46" s="399"/>
      <c r="AB46" s="39"/>
      <c r="AC46" s="39"/>
    </row>
    <row r="47" spans="1:29" x14ac:dyDescent="0.15">
      <c r="P47" s="400">
        <v>650000</v>
      </c>
      <c r="Q47" s="396"/>
      <c r="R47" s="396">
        <v>240000</v>
      </c>
      <c r="S47" s="396"/>
      <c r="T47" s="396">
        <v>170000</v>
      </c>
      <c r="U47" s="402"/>
    </row>
    <row r="48" spans="1:29" x14ac:dyDescent="0.15">
      <c r="P48" s="400"/>
      <c r="Q48" s="396"/>
      <c r="R48" s="396"/>
      <c r="S48" s="396"/>
      <c r="T48" s="396"/>
      <c r="U48" s="402"/>
    </row>
    <row r="49" spans="16:21" ht="14.25" thickBot="1" x14ac:dyDescent="0.2">
      <c r="P49" s="401"/>
      <c r="Q49" s="397"/>
      <c r="R49" s="397"/>
      <c r="S49" s="397"/>
      <c r="T49" s="397"/>
      <c r="U49" s="403"/>
    </row>
    <row r="50" spans="16:21" ht="14.25" thickTop="1" x14ac:dyDescent="0.15"/>
    <row r="52" spans="16:21" ht="21" x14ac:dyDescent="0.15">
      <c r="P52" s="407" t="s">
        <v>50</v>
      </c>
      <c r="Q52" s="408"/>
      <c r="R52" s="408"/>
      <c r="S52" s="408"/>
      <c r="T52" s="408"/>
      <c r="U52" s="408"/>
    </row>
    <row r="53" spans="16:21" x14ac:dyDescent="0.15">
      <c r="P53" s="404">
        <f>ROUNDDOWN(保険税試算!C48,-2)</f>
        <v>0</v>
      </c>
      <c r="Q53" s="404"/>
      <c r="R53" s="405">
        <f>ROUNDDOWN(保険税試算!F48,-2)</f>
        <v>0</v>
      </c>
      <c r="S53" s="405"/>
      <c r="T53" s="406">
        <f>ROUNDDOWN(保険税試算!J48,-2)</f>
        <v>0</v>
      </c>
      <c r="U53" s="406"/>
    </row>
    <row r="54" spans="16:21" x14ac:dyDescent="0.15">
      <c r="P54" s="404"/>
      <c r="Q54" s="404"/>
      <c r="R54" s="405"/>
      <c r="S54" s="405"/>
      <c r="T54" s="406"/>
      <c r="U54" s="406"/>
    </row>
    <row r="55" spans="16:21" x14ac:dyDescent="0.15">
      <c r="P55" s="404"/>
      <c r="Q55" s="404"/>
      <c r="R55" s="405"/>
      <c r="S55" s="405"/>
      <c r="T55" s="406"/>
      <c r="U55" s="406"/>
    </row>
    <row r="57" spans="16:21" x14ac:dyDescent="0.15">
      <c r="P57" s="230" t="s">
        <v>51</v>
      </c>
      <c r="Q57" s="231"/>
      <c r="R57" s="231"/>
      <c r="S57" s="231"/>
      <c r="T57" s="231"/>
      <c r="U57" s="232"/>
    </row>
    <row r="58" spans="16:21" x14ac:dyDescent="0.15">
      <c r="P58" s="233"/>
      <c r="Q58" s="234"/>
      <c r="R58" s="234"/>
      <c r="S58" s="234"/>
      <c r="T58" s="234"/>
      <c r="U58" s="235"/>
    </row>
    <row r="59" spans="16:21" x14ac:dyDescent="0.15">
      <c r="P59" s="395">
        <f>IF(P53&gt;P47,P47,P53)</f>
        <v>0</v>
      </c>
      <c r="Q59" s="395"/>
      <c r="R59" s="395">
        <f>IF(R53&gt;R47,R47,R53)</f>
        <v>0</v>
      </c>
      <c r="S59" s="395"/>
      <c r="T59" s="395">
        <f>IF(T53&gt;T47,T47,T53)</f>
        <v>0</v>
      </c>
      <c r="U59" s="395"/>
    </row>
    <row r="60" spans="16:21" x14ac:dyDescent="0.15">
      <c r="P60" s="395"/>
      <c r="Q60" s="395"/>
      <c r="R60" s="395"/>
      <c r="S60" s="395"/>
      <c r="T60" s="395"/>
      <c r="U60" s="395"/>
    </row>
    <row r="61" spans="16:21" x14ac:dyDescent="0.15">
      <c r="P61" s="395"/>
      <c r="Q61" s="395"/>
      <c r="R61" s="395"/>
      <c r="S61" s="395"/>
      <c r="T61" s="395"/>
      <c r="U61" s="395"/>
    </row>
  </sheetData>
  <sheetProtection algorithmName="SHA-512" hashValue="dUMioowGELTkUr6IJyZGRgE9SSG56//z5eH8+ZmENZ1ENUwswn7ev0IUfbJ4LJtKyytVN7ejsRy/tuR/VIxxjQ==" saltValue="9I4Xk/YYcTu67pUQK0w4vA==" spinCount="100000" sheet="1" objects="1" scenarios="1"/>
  <mergeCells count="264">
    <mergeCell ref="P59:Q61"/>
    <mergeCell ref="R59:S61"/>
    <mergeCell ref="T59:U61"/>
    <mergeCell ref="R47:S49"/>
    <mergeCell ref="P46:U46"/>
    <mergeCell ref="P47:Q49"/>
    <mergeCell ref="T47:U49"/>
    <mergeCell ref="P53:Q55"/>
    <mergeCell ref="R53:S55"/>
    <mergeCell ref="T53:U55"/>
    <mergeCell ref="P52:U52"/>
    <mergeCell ref="P57:U58"/>
    <mergeCell ref="R1:T2"/>
    <mergeCell ref="U1:W2"/>
    <mergeCell ref="X1:Z2"/>
    <mergeCell ref="AA1:AC2"/>
    <mergeCell ref="A3:B4"/>
    <mergeCell ref="C3:D4"/>
    <mergeCell ref="E3:I4"/>
    <mergeCell ref="J3:L4"/>
    <mergeCell ref="M3:N4"/>
    <mergeCell ref="AD3:AJ3"/>
    <mergeCell ref="AK3:AN4"/>
    <mergeCell ref="AO3:AS3"/>
    <mergeCell ref="AT4:AT5"/>
    <mergeCell ref="A5:B7"/>
    <mergeCell ref="C5:D7"/>
    <mergeCell ref="F5:I5"/>
    <mergeCell ref="K5:L5"/>
    <mergeCell ref="O3:O4"/>
    <mergeCell ref="P3:Q4"/>
    <mergeCell ref="R3:T4"/>
    <mergeCell ref="U3:W4"/>
    <mergeCell ref="X3:Z4"/>
    <mergeCell ref="AA3:AC4"/>
    <mergeCell ref="AM5:AN7"/>
    <mergeCell ref="AO5:AO7"/>
    <mergeCell ref="AP5:AP7"/>
    <mergeCell ref="AQ5:AQ7"/>
    <mergeCell ref="AR5:AR7"/>
    <mergeCell ref="O5:O7"/>
    <mergeCell ref="P5:Q7"/>
    <mergeCell ref="S5:T5"/>
    <mergeCell ref="V5:W5"/>
    <mergeCell ref="Y5:Z5"/>
    <mergeCell ref="AK5:AL7"/>
    <mergeCell ref="AB10:AC10"/>
    <mergeCell ref="F10:I10"/>
    <mergeCell ref="K10:L10"/>
    <mergeCell ref="S10:T10"/>
    <mergeCell ref="V10:W10"/>
    <mergeCell ref="P11:Q13"/>
    <mergeCell ref="S11:T11"/>
    <mergeCell ref="AT6:AT8"/>
    <mergeCell ref="F7:I7"/>
    <mergeCell ref="K7:L7"/>
    <mergeCell ref="S7:T7"/>
    <mergeCell ref="V7:W7"/>
    <mergeCell ref="Y7:Z7"/>
    <mergeCell ref="AB7:AC7"/>
    <mergeCell ref="P8:Q10"/>
    <mergeCell ref="S8:T8"/>
    <mergeCell ref="V8:W8"/>
    <mergeCell ref="AS5:AS7"/>
    <mergeCell ref="F6:I6"/>
    <mergeCell ref="K6:L6"/>
    <mergeCell ref="S6:T6"/>
    <mergeCell ref="V6:W6"/>
    <mergeCell ref="Y6:Z6"/>
    <mergeCell ref="C11:D13"/>
    <mergeCell ref="Y11:Z11"/>
    <mergeCell ref="AB11:AC11"/>
    <mergeCell ref="V13:W13"/>
    <mergeCell ref="Y13:Z13"/>
    <mergeCell ref="AB13:AC13"/>
    <mergeCell ref="F9:I9"/>
    <mergeCell ref="F13:I13"/>
    <mergeCell ref="K9:L9"/>
    <mergeCell ref="Y12:Z12"/>
    <mergeCell ref="AB12:AC12"/>
    <mergeCell ref="F11:I11"/>
    <mergeCell ref="K11:L11"/>
    <mergeCell ref="O11:O13"/>
    <mergeCell ref="AB9:AC9"/>
    <mergeCell ref="V11:W11"/>
    <mergeCell ref="Y8:Z8"/>
    <mergeCell ref="AB8:AC8"/>
    <mergeCell ref="AB5:AC5"/>
    <mergeCell ref="AB6:AC6"/>
    <mergeCell ref="S9:T9"/>
    <mergeCell ref="V9:W9"/>
    <mergeCell ref="Y9:Z9"/>
    <mergeCell ref="A8:B10"/>
    <mergeCell ref="C8:D10"/>
    <mergeCell ref="F8:I8"/>
    <mergeCell ref="K8:L8"/>
    <mergeCell ref="O8:O10"/>
    <mergeCell ref="Y10:Z10"/>
    <mergeCell ref="AK11:AL13"/>
    <mergeCell ref="AM11:AN13"/>
    <mergeCell ref="AT9:AT11"/>
    <mergeCell ref="AK8:AL10"/>
    <mergeCell ref="AM8:AN10"/>
    <mergeCell ref="AT12:AT14"/>
    <mergeCell ref="K13:L13"/>
    <mergeCell ref="S13:T13"/>
    <mergeCell ref="P14:Q16"/>
    <mergeCell ref="S14:T14"/>
    <mergeCell ref="V14:W14"/>
    <mergeCell ref="Y14:Z14"/>
    <mergeCell ref="AB14:AC14"/>
    <mergeCell ref="V12:W12"/>
    <mergeCell ref="AT15:AT17"/>
    <mergeCell ref="K16:L16"/>
    <mergeCell ref="S16:T16"/>
    <mergeCell ref="Y16:Z16"/>
    <mergeCell ref="O17:O19"/>
    <mergeCell ref="K19:L19"/>
    <mergeCell ref="AB19:AC19"/>
    <mergeCell ref="V16:W16"/>
    <mergeCell ref="AK14:AL16"/>
    <mergeCell ref="AM14:AN16"/>
    <mergeCell ref="F15:I15"/>
    <mergeCell ref="K15:L15"/>
    <mergeCell ref="S15:T15"/>
    <mergeCell ref="Y15:Z15"/>
    <mergeCell ref="AB15:AC15"/>
    <mergeCell ref="F18:I18"/>
    <mergeCell ref="V15:W15"/>
    <mergeCell ref="F16:I16"/>
    <mergeCell ref="F19:I19"/>
    <mergeCell ref="S19:T19"/>
    <mergeCell ref="V19:W19"/>
    <mergeCell ref="AB16:AC16"/>
    <mergeCell ref="V17:W17"/>
    <mergeCell ref="Y17:Z17"/>
    <mergeCell ref="AB17:AC17"/>
    <mergeCell ref="S18:T18"/>
    <mergeCell ref="V18:W18"/>
    <mergeCell ref="Y18:Z18"/>
    <mergeCell ref="AB18:AC18"/>
    <mergeCell ref="Y19:Z19"/>
    <mergeCell ref="F22:I22"/>
    <mergeCell ref="F25:I25"/>
    <mergeCell ref="K17:L17"/>
    <mergeCell ref="K18:L18"/>
    <mergeCell ref="K22:L22"/>
    <mergeCell ref="F23:I23"/>
    <mergeCell ref="S24:T24"/>
    <mergeCell ref="H32:H35"/>
    <mergeCell ref="H36:H39"/>
    <mergeCell ref="P17:Q19"/>
    <mergeCell ref="S17:T17"/>
    <mergeCell ref="R34:S36"/>
    <mergeCell ref="P29:U29"/>
    <mergeCell ref="R30:S32"/>
    <mergeCell ref="T30:U32"/>
    <mergeCell ref="P33:U33"/>
    <mergeCell ref="T34:U36"/>
    <mergeCell ref="P34:Q36"/>
    <mergeCell ref="P30:Q32"/>
    <mergeCell ref="P37:U37"/>
    <mergeCell ref="R38:S40"/>
    <mergeCell ref="T38:U40"/>
    <mergeCell ref="P38:Q40"/>
    <mergeCell ref="B44:F45"/>
    <mergeCell ref="I44:J45"/>
    <mergeCell ref="K44:L45"/>
    <mergeCell ref="I36:I39"/>
    <mergeCell ref="J36:K39"/>
    <mergeCell ref="L36:L39"/>
    <mergeCell ref="D37:D39"/>
    <mergeCell ref="F37:F39"/>
    <mergeCell ref="F33:F35"/>
    <mergeCell ref="B36:B39"/>
    <mergeCell ref="C36:C39"/>
    <mergeCell ref="E36:E39"/>
    <mergeCell ref="B32:B35"/>
    <mergeCell ref="C32:C35"/>
    <mergeCell ref="E32:E35"/>
    <mergeCell ref="I32:I35"/>
    <mergeCell ref="J32:K35"/>
    <mergeCell ref="L32:L35"/>
    <mergeCell ref="D33:D35"/>
    <mergeCell ref="G36:G39"/>
    <mergeCell ref="Y24:Z24"/>
    <mergeCell ref="K25:L25"/>
    <mergeCell ref="Y25:Z25"/>
    <mergeCell ref="K23:L23"/>
    <mergeCell ref="F24:I24"/>
    <mergeCell ref="K24:L24"/>
    <mergeCell ref="V23:W23"/>
    <mergeCell ref="V25:W25"/>
    <mergeCell ref="P26:Q27"/>
    <mergeCell ref="V24:W24"/>
    <mergeCell ref="A40:A43"/>
    <mergeCell ref="B40:B43"/>
    <mergeCell ref="C40:C43"/>
    <mergeCell ref="E40:E43"/>
    <mergeCell ref="I40:I43"/>
    <mergeCell ref="J40:K43"/>
    <mergeCell ref="L40:L43"/>
    <mergeCell ref="D41:D43"/>
    <mergeCell ref="F41:F43"/>
    <mergeCell ref="G40:G43"/>
    <mergeCell ref="H40:H43"/>
    <mergeCell ref="P41:U41"/>
    <mergeCell ref="P43:Q45"/>
    <mergeCell ref="R43:S45"/>
    <mergeCell ref="M5:N25"/>
    <mergeCell ref="S25:T25"/>
    <mergeCell ref="S12:T12"/>
    <mergeCell ref="T43:U45"/>
    <mergeCell ref="P42:Q42"/>
    <mergeCell ref="R42:S42"/>
    <mergeCell ref="T42:U42"/>
    <mergeCell ref="C14:D16"/>
    <mergeCell ref="F14:I14"/>
    <mergeCell ref="K14:L14"/>
    <mergeCell ref="O14:O16"/>
    <mergeCell ref="A11:B13"/>
    <mergeCell ref="A36:A39"/>
    <mergeCell ref="A30:K31"/>
    <mergeCell ref="L30:L31"/>
    <mergeCell ref="A32:A35"/>
    <mergeCell ref="A23:B25"/>
    <mergeCell ref="F12:I12"/>
    <mergeCell ref="K12:L12"/>
    <mergeCell ref="A17:B19"/>
    <mergeCell ref="C17:D19"/>
    <mergeCell ref="F17:I17"/>
    <mergeCell ref="A20:B22"/>
    <mergeCell ref="C20:D22"/>
    <mergeCell ref="C23:D25"/>
    <mergeCell ref="F20:I20"/>
    <mergeCell ref="K20:L20"/>
    <mergeCell ref="F21:I21"/>
    <mergeCell ref="K21:L21"/>
    <mergeCell ref="A14:B16"/>
    <mergeCell ref="G32:G35"/>
    <mergeCell ref="AT18:AT20"/>
    <mergeCell ref="AT21:AT23"/>
    <mergeCell ref="AT24:AT26"/>
    <mergeCell ref="O20:O22"/>
    <mergeCell ref="O23:O25"/>
    <mergeCell ref="P20:Q22"/>
    <mergeCell ref="P23:Q25"/>
    <mergeCell ref="S20:T20"/>
    <mergeCell ref="V20:W20"/>
    <mergeCell ref="Y20:Z20"/>
    <mergeCell ref="AB20:AC20"/>
    <mergeCell ref="S21:T21"/>
    <mergeCell ref="V21:W21"/>
    <mergeCell ref="Y21:Z21"/>
    <mergeCell ref="AB21:AC21"/>
    <mergeCell ref="S22:T22"/>
    <mergeCell ref="V22:W22"/>
    <mergeCell ref="Y22:Z22"/>
    <mergeCell ref="AB22:AC22"/>
    <mergeCell ref="S23:T23"/>
    <mergeCell ref="Y23:Z23"/>
    <mergeCell ref="AB23:AC23"/>
    <mergeCell ref="AB25:AC25"/>
    <mergeCell ref="AB24:AC24"/>
  </mergeCells>
  <phoneticPr fontId="2"/>
  <pageMargins left="0.7" right="0.7" top="0.75" bottom="0.75" header="0.3" footer="0.3"/>
  <pageSetup paperSize="8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保険税試算</vt:lpstr>
      <vt:lpstr>R6給与所得速算表</vt:lpstr>
      <vt:lpstr>R6年金所得速算表</vt:lpstr>
      <vt:lpstr>修正不可</vt:lpstr>
      <vt:lpstr>保険税試算!Print_Area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米田琉偉</cp:lastModifiedBy>
  <cp:lastPrinted>2025-03-13T06:56:37Z</cp:lastPrinted>
  <dcterms:created xsi:type="dcterms:W3CDTF">2017-07-07T01:58:19Z</dcterms:created>
  <dcterms:modified xsi:type="dcterms:W3CDTF">2025-03-13T07:15:13Z</dcterms:modified>
</cp:coreProperties>
</file>